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Paigutus" sheetId="1" r:id="rId1"/>
    <sheet name="Plussring" sheetId="2" r:id="rId2"/>
    <sheet name="Kohad_3-16" sheetId="3" r:id="rId3"/>
    <sheet name="Mängud" sheetId="4" r:id="rId4"/>
    <sheet name="Lõppjärjestus" sheetId="5" r:id="rId5"/>
    <sheet name="Reitinguks" sheetId="6" r:id="rId6"/>
  </sheets>
  <definedNames/>
  <calcPr fullCalcOnLoad="1"/>
</workbook>
</file>

<file path=xl/sharedStrings.xml><?xml version="1.0" encoding="utf-8"?>
<sst xmlns="http://schemas.openxmlformats.org/spreadsheetml/2006/main" count="207" uniqueCount="124">
  <si>
    <t>PLUSSRING</t>
  </si>
  <si>
    <t>Paigutus tabelisse</t>
  </si>
  <si>
    <t>Jrk.</t>
  </si>
  <si>
    <t>Eesnimi</t>
  </si>
  <si>
    <t>Nimi</t>
  </si>
  <si>
    <t>1.</t>
  </si>
  <si>
    <t>2.</t>
  </si>
  <si>
    <t>MIINUSRING</t>
  </si>
  <si>
    <t>3.</t>
  </si>
  <si>
    <t>4.</t>
  </si>
  <si>
    <t>5.</t>
  </si>
  <si>
    <t>6.</t>
  </si>
  <si>
    <t>9.</t>
  </si>
  <si>
    <t>7.</t>
  </si>
  <si>
    <t>8.</t>
  </si>
  <si>
    <t>10.</t>
  </si>
  <si>
    <t>11.</t>
  </si>
  <si>
    <t>12.</t>
  </si>
  <si>
    <t>13.</t>
  </si>
  <si>
    <t>15.</t>
  </si>
  <si>
    <t>14.</t>
  </si>
  <si>
    <t>16.</t>
  </si>
  <si>
    <t>Mäng</t>
  </si>
  <si>
    <t>Mängija1</t>
  </si>
  <si>
    <t>Mängija2</t>
  </si>
  <si>
    <t>Laud</t>
  </si>
  <si>
    <t>Võitja</t>
  </si>
  <si>
    <t>Tulemus</t>
  </si>
  <si>
    <t>Tulemused</t>
  </si>
  <si>
    <t>Lauad</t>
  </si>
  <si>
    <t>3:0</t>
  </si>
  <si>
    <t>3:1</t>
  </si>
  <si>
    <t>3:2</t>
  </si>
  <si>
    <t>w:0</t>
  </si>
  <si>
    <t>Finaal</t>
  </si>
  <si>
    <t>I poolfinaal</t>
  </si>
  <si>
    <t>II poolfinaal</t>
  </si>
  <si>
    <t xml:space="preserve">Koht </t>
  </si>
  <si>
    <t>Laud1</t>
  </si>
  <si>
    <t>2:0</t>
  </si>
  <si>
    <t>2:1</t>
  </si>
  <si>
    <t>4:0</t>
  </si>
  <si>
    <t>4:1</t>
  </si>
  <si>
    <t>4:2</t>
  </si>
  <si>
    <t>4:3</t>
  </si>
  <si>
    <t>A</t>
  </si>
  <si>
    <t>B</t>
  </si>
  <si>
    <t>C</t>
  </si>
  <si>
    <t>D</t>
  </si>
  <si>
    <t>E</t>
  </si>
  <si>
    <t>F</t>
  </si>
  <si>
    <t>G</t>
  </si>
  <si>
    <t>H</t>
  </si>
  <si>
    <t>VOISTLUS</t>
  </si>
  <si>
    <t>KUUPAEV</t>
  </si>
  <si>
    <t>ASUKOHT</t>
  </si>
  <si>
    <t>KOHTUNIK</t>
  </si>
  <si>
    <t>KORRALDAJA</t>
  </si>
  <si>
    <t>ID</t>
  </si>
  <si>
    <t>PERENIMI</t>
  </si>
  <si>
    <t>EESNIMI</t>
  </si>
  <si>
    <t>ELTLID</t>
  </si>
  <si>
    <t>MANGU_ID</t>
  </si>
  <si>
    <t>KLASS</t>
  </si>
  <si>
    <t>VOITJA_ID</t>
  </si>
  <si>
    <t>VOITJA_NIMI</t>
  </si>
  <si>
    <t>KAOTAJA_ID</t>
  </si>
  <si>
    <t>KAOTAJA_NIMI</t>
  </si>
  <si>
    <t>SETID</t>
  </si>
  <si>
    <t>PUNKTID</t>
  </si>
  <si>
    <t>Nimi kokku</t>
  </si>
  <si>
    <t>Imre</t>
  </si>
  <si>
    <t>Korsen</t>
  </si>
  <si>
    <t>Imre Korsen</t>
  </si>
  <si>
    <t>Kalju</t>
  </si>
  <si>
    <t>Kalda</t>
  </si>
  <si>
    <t>Kalju Kalda</t>
  </si>
  <si>
    <t>Raigo</t>
  </si>
  <si>
    <t>Rommot</t>
  </si>
  <si>
    <t>Raigo Rommot</t>
  </si>
  <si>
    <t>Almar</t>
  </si>
  <si>
    <t>Rahuoja</t>
  </si>
  <si>
    <t>Almar Rahuoja</t>
  </si>
  <si>
    <t>Hannes</t>
  </si>
  <si>
    <t>Lepik</t>
  </si>
  <si>
    <t>Hannes Lepik</t>
  </si>
  <si>
    <t>Tõnu</t>
  </si>
  <si>
    <t>Hansar</t>
  </si>
  <si>
    <t>Tõnu Hansar</t>
  </si>
  <si>
    <t>Toomas</t>
  </si>
  <si>
    <t>Toomas Hansar</t>
  </si>
  <si>
    <t>Andrus</t>
  </si>
  <si>
    <t>Plamus</t>
  </si>
  <si>
    <t>Andrus Plamus</t>
  </si>
  <si>
    <t>Heiki</t>
  </si>
  <si>
    <t>Heiki Hansar</t>
  </si>
  <si>
    <t>Raivo</t>
  </si>
  <si>
    <t>Roots</t>
  </si>
  <si>
    <t>Raivo Roots</t>
  </si>
  <si>
    <t>Aivar</t>
  </si>
  <si>
    <t>Soo</t>
  </si>
  <si>
    <t>Aivar Soo</t>
  </si>
  <si>
    <t>Kristo</t>
  </si>
  <si>
    <t>Kerno</t>
  </si>
  <si>
    <t>Kristo Kerno</t>
  </si>
  <si>
    <t>Virgo</t>
  </si>
  <si>
    <t>Runno</t>
  </si>
  <si>
    <t>Virgo Runno</t>
  </si>
  <si>
    <t>Siim</t>
  </si>
  <si>
    <t>Esko</t>
  </si>
  <si>
    <t>Siim Esko</t>
  </si>
  <si>
    <t>Bye</t>
  </si>
  <si>
    <t>Bye Bye</t>
  </si>
  <si>
    <t>Taivo Koitla</t>
  </si>
  <si>
    <t>Taivo</t>
  </si>
  <si>
    <t>Koitla</t>
  </si>
  <si>
    <t>Taivo koitla</t>
  </si>
  <si>
    <t>Kohila</t>
  </si>
  <si>
    <t>Märjamaa</t>
  </si>
  <si>
    <t>Rapla</t>
  </si>
  <si>
    <t>Kehtna</t>
  </si>
  <si>
    <t>31+28+16=</t>
  </si>
  <si>
    <t>27+23=</t>
  </si>
  <si>
    <t>26+25+24+22+21+20+19+18+17=192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</si>
</sst>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F800]dddd\,\ mmmm\ dd\,\ yyyy"/>
    <numFmt numFmtId="173" formatCode="d/m/yy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1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3" borderId="3" applyNumberFormat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0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/>
    </xf>
    <xf numFmtId="20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33" borderId="15" xfId="0" applyFont="1" applyFill="1" applyBorder="1" applyAlignment="1" applyProtection="1">
      <alignment/>
      <protection/>
    </xf>
    <xf numFmtId="49" fontId="6" fillId="33" borderId="15" xfId="0" applyNumberFormat="1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44" fillId="0" borderId="0" xfId="0" applyNumberFormat="1" applyFont="1" applyAlignment="1" applyProtection="1">
      <alignment/>
      <protection locked="0"/>
    </xf>
    <xf numFmtId="0" fontId="6" fillId="33" borderId="15" xfId="0" applyFont="1" applyFill="1" applyBorder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49" fontId="6" fillId="33" borderId="15" xfId="0" applyNumberFormat="1" applyFont="1" applyFill="1" applyBorder="1" applyAlignment="1" applyProtection="1">
      <alignment horizontal="center"/>
      <protection/>
    </xf>
    <xf numFmtId="49" fontId="44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33" borderId="15" xfId="0" applyFont="1" applyFill="1" applyBorder="1" applyAlignment="1" applyProtection="1">
      <alignment horizontal="left"/>
      <protection/>
    </xf>
    <xf numFmtId="49" fontId="6" fillId="33" borderId="15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5" fillId="34" borderId="0" xfId="0" applyFont="1" applyFill="1" applyAlignment="1">
      <alignment vertical="center" wrapText="1"/>
    </xf>
    <xf numFmtId="0" fontId="1" fillId="35" borderId="18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4" max="4" width="10.28125" style="0" bestFit="1" customWidth="1"/>
  </cols>
  <sheetData>
    <row r="1" spans="1:3" ht="12.75">
      <c r="A1" s="44" t="s">
        <v>1</v>
      </c>
      <c r="B1" s="44"/>
      <c r="C1" s="44"/>
    </row>
    <row r="2" spans="1:3" ht="12.75">
      <c r="A2" s="1"/>
      <c r="B2" s="1"/>
      <c r="C2" s="1"/>
    </row>
    <row r="3" spans="1:5" ht="12.75">
      <c r="A3" s="6" t="s">
        <v>2</v>
      </c>
      <c r="B3" s="6" t="s">
        <v>3</v>
      </c>
      <c r="C3" s="6" t="s">
        <v>4</v>
      </c>
      <c r="D3" s="43" t="s">
        <v>70</v>
      </c>
      <c r="E3" s="43" t="s">
        <v>58</v>
      </c>
    </row>
    <row r="4" spans="1:5" ht="12.75">
      <c r="A4" s="1">
        <v>1</v>
      </c>
      <c r="B4" s="48" t="s">
        <v>71</v>
      </c>
      <c r="C4" s="48" t="s">
        <v>72</v>
      </c>
      <c r="D4" s="48" t="s">
        <v>73</v>
      </c>
      <c r="E4" s="48">
        <v>441</v>
      </c>
    </row>
    <row r="5" spans="1:5" ht="12.75">
      <c r="A5" s="1">
        <v>2</v>
      </c>
      <c r="B5" s="48" t="s">
        <v>74</v>
      </c>
      <c r="C5" s="48" t="s">
        <v>75</v>
      </c>
      <c r="D5" s="48" t="s">
        <v>76</v>
      </c>
      <c r="E5" s="48">
        <v>346</v>
      </c>
    </row>
    <row r="6" spans="1:5" ht="12.75">
      <c r="A6" s="1">
        <v>3</v>
      </c>
      <c r="B6" s="48" t="s">
        <v>77</v>
      </c>
      <c r="C6" s="48" t="s">
        <v>78</v>
      </c>
      <c r="D6" s="48" t="s">
        <v>79</v>
      </c>
      <c r="E6" s="48">
        <v>7194</v>
      </c>
    </row>
    <row r="7" spans="1:5" ht="12.75">
      <c r="A7" s="1">
        <v>4</v>
      </c>
      <c r="B7" s="48" t="s">
        <v>80</v>
      </c>
      <c r="C7" s="48" t="s">
        <v>81</v>
      </c>
      <c r="D7" s="48" t="s">
        <v>82</v>
      </c>
      <c r="E7" s="48">
        <v>493</v>
      </c>
    </row>
    <row r="8" spans="1:5" ht="12.75">
      <c r="A8" s="1">
        <v>5</v>
      </c>
      <c r="B8" s="48" t="s">
        <v>83</v>
      </c>
      <c r="C8" s="48" t="s">
        <v>84</v>
      </c>
      <c r="D8" s="48" t="s">
        <v>85</v>
      </c>
      <c r="E8" s="48">
        <v>9400</v>
      </c>
    </row>
    <row r="9" spans="1:5" ht="12.75">
      <c r="A9" s="1">
        <v>6</v>
      </c>
      <c r="B9" s="48" t="s">
        <v>86</v>
      </c>
      <c r="C9" s="48" t="s">
        <v>87</v>
      </c>
      <c r="D9" s="48" t="s">
        <v>88</v>
      </c>
      <c r="E9" s="48">
        <v>1684</v>
      </c>
    </row>
    <row r="10" spans="1:5" ht="20.25">
      <c r="A10" s="1">
        <v>7</v>
      </c>
      <c r="B10" s="48" t="s">
        <v>89</v>
      </c>
      <c r="C10" s="48" t="s">
        <v>87</v>
      </c>
      <c r="D10" s="48" t="s">
        <v>90</v>
      </c>
      <c r="E10" s="48">
        <v>336</v>
      </c>
    </row>
    <row r="11" spans="1:5" ht="20.25">
      <c r="A11" s="1">
        <v>8</v>
      </c>
      <c r="B11" s="48" t="s">
        <v>91</v>
      </c>
      <c r="C11" s="48" t="s">
        <v>92</v>
      </c>
      <c r="D11" s="48" t="s">
        <v>93</v>
      </c>
      <c r="E11" s="48">
        <v>7667</v>
      </c>
    </row>
    <row r="12" spans="1:5" ht="12.75">
      <c r="A12" s="1">
        <v>9</v>
      </c>
      <c r="B12" s="48" t="s">
        <v>94</v>
      </c>
      <c r="C12" s="48" t="s">
        <v>87</v>
      </c>
      <c r="D12" s="48" t="s">
        <v>95</v>
      </c>
      <c r="E12" s="48">
        <v>299</v>
      </c>
    </row>
    <row r="13" spans="1:5" ht="12.75">
      <c r="A13" s="1">
        <v>10</v>
      </c>
      <c r="B13" s="48" t="s">
        <v>96</v>
      </c>
      <c r="C13" s="48" t="s">
        <v>97</v>
      </c>
      <c r="D13" s="48" t="s">
        <v>98</v>
      </c>
      <c r="E13" s="48">
        <v>3451</v>
      </c>
    </row>
    <row r="14" spans="1:5" ht="12.75">
      <c r="A14" s="1">
        <v>11</v>
      </c>
      <c r="B14" s="48" t="s">
        <v>99</v>
      </c>
      <c r="C14" s="48" t="s">
        <v>100</v>
      </c>
      <c r="D14" s="48" t="s">
        <v>101</v>
      </c>
      <c r="E14" s="48">
        <v>10411</v>
      </c>
    </row>
    <row r="15" spans="1:5" ht="12.75">
      <c r="A15" s="1">
        <v>12</v>
      </c>
      <c r="B15" s="48" t="s">
        <v>102</v>
      </c>
      <c r="C15" s="48" t="s">
        <v>103</v>
      </c>
      <c r="D15" s="48" t="s">
        <v>104</v>
      </c>
      <c r="E15" s="48">
        <v>9455</v>
      </c>
    </row>
    <row r="16" spans="1:5" ht="12.75">
      <c r="A16" s="1">
        <v>13</v>
      </c>
      <c r="B16" s="48" t="s">
        <v>105</v>
      </c>
      <c r="C16" s="48" t="s">
        <v>106</v>
      </c>
      <c r="D16" s="48" t="s">
        <v>107</v>
      </c>
      <c r="E16" s="48">
        <v>8332</v>
      </c>
    </row>
    <row r="17" spans="1:5" ht="12.75">
      <c r="A17" s="1">
        <v>14</v>
      </c>
      <c r="B17" s="48" t="s">
        <v>108</v>
      </c>
      <c r="C17" s="48" t="s">
        <v>109</v>
      </c>
      <c r="D17" s="48" t="s">
        <v>110</v>
      </c>
      <c r="E17" s="48"/>
    </row>
    <row r="18" spans="1:5" ht="12.75">
      <c r="A18" s="1">
        <v>15</v>
      </c>
      <c r="B18" s="48" t="s">
        <v>114</v>
      </c>
      <c r="C18" s="48" t="s">
        <v>115</v>
      </c>
      <c r="D18" s="48" t="s">
        <v>116</v>
      </c>
      <c r="E18" s="48">
        <v>0</v>
      </c>
    </row>
    <row r="19" spans="1:5" ht="12.75">
      <c r="A19" s="1">
        <v>16</v>
      </c>
      <c r="B19" s="48" t="s">
        <v>111</v>
      </c>
      <c r="C19" s="48" t="s">
        <v>111</v>
      </c>
      <c r="D19" s="48" t="s">
        <v>112</v>
      </c>
      <c r="E19" s="48">
        <v>0</v>
      </c>
    </row>
    <row r="23" spans="1:3" ht="12.75">
      <c r="A23">
        <v>1</v>
      </c>
      <c r="B23" s="43" t="s">
        <v>117</v>
      </c>
      <c r="C23" s="43" t="s">
        <v>123</v>
      </c>
    </row>
    <row r="24" spans="1:5" ht="12.75">
      <c r="A24">
        <v>2</v>
      </c>
      <c r="B24" s="43" t="s">
        <v>119</v>
      </c>
      <c r="D24" s="43" t="s">
        <v>121</v>
      </c>
      <c r="E24">
        <v>75</v>
      </c>
    </row>
    <row r="25" spans="1:5" ht="12.75">
      <c r="A25">
        <v>3</v>
      </c>
      <c r="B25" s="43" t="s">
        <v>118</v>
      </c>
      <c r="D25" s="43" t="s">
        <v>122</v>
      </c>
      <c r="E25">
        <v>50</v>
      </c>
    </row>
    <row r="26" spans="1:5" ht="12.75">
      <c r="A26">
        <v>4</v>
      </c>
      <c r="B26" s="43" t="s">
        <v>120</v>
      </c>
      <c r="E26">
        <v>29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K38" sqref="K38"/>
    </sheetView>
  </sheetViews>
  <sheetFormatPr defaultColWidth="9.140625" defaultRowHeight="12.75"/>
  <cols>
    <col min="1" max="1" width="4.28125" style="1" customWidth="1"/>
    <col min="2" max="18" width="5.7109375" style="1" customWidth="1"/>
    <col min="19" max="20" width="4.28125" style="1" customWidth="1"/>
    <col min="21" max="21" width="9.140625" style="1" customWidth="1"/>
    <col min="22" max="22" width="4.28125" style="1" customWidth="1"/>
    <col min="23" max="24" width="11.421875" style="1" customWidth="1"/>
    <col min="25" max="16384" width="9.140625" style="1" customWidth="1"/>
  </cols>
  <sheetData>
    <row r="1" spans="11:14" ht="9.75">
      <c r="K1" s="44" t="s">
        <v>0</v>
      </c>
      <c r="L1" s="44"/>
      <c r="M1" s="44"/>
      <c r="N1" s="44"/>
    </row>
    <row r="2" spans="11:14" ht="9.75">
      <c r="K2" s="24"/>
      <c r="L2" s="24"/>
      <c r="M2" s="24"/>
      <c r="N2" s="24"/>
    </row>
    <row r="4" spans="1:4" ht="9.75">
      <c r="A4" s="3">
        <v>1</v>
      </c>
      <c r="B4" s="46" t="str">
        <f>Paigutus!B4&amp;" "&amp;Paigutus!C4</f>
        <v>Imre Korsen</v>
      </c>
      <c r="C4" s="46"/>
      <c r="D4" s="46"/>
    </row>
    <row r="5" spans="4:7" ht="9.75">
      <c r="D5" s="4">
        <v>101</v>
      </c>
      <c r="E5" s="45" t="str">
        <f>IF(Mängud!F2="","",Mängud!F2)</f>
        <v>Imre Korsen</v>
      </c>
      <c r="F5" s="46"/>
      <c r="G5" s="46"/>
    </row>
    <row r="6" spans="1:7" ht="9.75">
      <c r="A6" s="3">
        <v>16</v>
      </c>
      <c r="B6" s="46" t="str">
        <f>Paigutus!B19&amp;" "&amp;Paigutus!C19</f>
        <v>Bye Bye</v>
      </c>
      <c r="C6" s="46"/>
      <c r="D6" s="47"/>
      <c r="E6" s="5"/>
      <c r="F6" s="16" t="str">
        <f>IF(Mängud!G2="","",Mängud!G2)</f>
        <v>w:0</v>
      </c>
      <c r="G6" s="4"/>
    </row>
    <row r="7" spans="7:10" ht="9.75">
      <c r="G7" s="2">
        <v>109</v>
      </c>
      <c r="H7" s="45" t="str">
        <f>IF(Mängud!F10="","",Mängud!F10)</f>
        <v>Imre Korsen</v>
      </c>
      <c r="I7" s="46"/>
      <c r="J7" s="46"/>
    </row>
    <row r="8" spans="1:10" ht="9.75">
      <c r="A8" s="3">
        <v>9</v>
      </c>
      <c r="B8" s="46" t="str">
        <f>Paigutus!B12&amp;" "&amp;Paigutus!C12</f>
        <v>Heiki Hansar</v>
      </c>
      <c r="C8" s="46"/>
      <c r="D8" s="46"/>
      <c r="G8" s="2"/>
      <c r="H8" s="5"/>
      <c r="I8" s="16" t="str">
        <f>IF(Mängud!G10="","",Mängud!G10)</f>
        <v>3:0</v>
      </c>
      <c r="J8" s="4"/>
    </row>
    <row r="9" spans="4:10" ht="9.75">
      <c r="D9" s="4">
        <v>102</v>
      </c>
      <c r="E9" s="45" t="str">
        <f>IF(Mängud!F3="","",Mängud!F3)</f>
        <v>Andrus Plamus</v>
      </c>
      <c r="F9" s="46"/>
      <c r="G9" s="46"/>
      <c r="H9" s="19"/>
      <c r="J9" s="2"/>
    </row>
    <row r="10" spans="1:10" ht="9.75">
      <c r="A10" s="3">
        <v>8</v>
      </c>
      <c r="B10" s="46" t="str">
        <f>Paigutus!B11&amp;" "&amp;Paigutus!C11</f>
        <v>Andrus Plamus</v>
      </c>
      <c r="C10" s="46"/>
      <c r="D10" s="47"/>
      <c r="E10" s="5"/>
      <c r="F10" s="16" t="str">
        <f>IF(Mängud!G3="","",Mängud!G3)</f>
        <v>3:2</v>
      </c>
      <c r="G10" s="17"/>
      <c r="H10" s="7"/>
      <c r="J10" s="2"/>
    </row>
    <row r="11" spans="10:13" ht="9.75">
      <c r="J11" s="2">
        <v>117</v>
      </c>
      <c r="K11" s="45" t="str">
        <f>IF(Mängud!F18="","",Mängud!F18)</f>
        <v>Imre Korsen</v>
      </c>
      <c r="L11" s="46"/>
      <c r="M11" s="46"/>
    </row>
    <row r="12" spans="1:13" ht="9.75">
      <c r="A12" s="3">
        <v>5</v>
      </c>
      <c r="B12" s="46" t="str">
        <f>Paigutus!B8&amp;" "&amp;Paigutus!C8</f>
        <v>Hannes Lepik</v>
      </c>
      <c r="C12" s="46"/>
      <c r="D12" s="46"/>
      <c r="J12" s="2"/>
      <c r="K12" s="5"/>
      <c r="L12" s="16" t="str">
        <f>IF(Mängud!G18="","",Mängud!G18)</f>
        <v>3:1</v>
      </c>
      <c r="M12" s="4"/>
    </row>
    <row r="13" spans="4:13" ht="9.75">
      <c r="D13" s="4">
        <v>103</v>
      </c>
      <c r="E13" s="45" t="str">
        <f>IF(Mängud!F4="","",Mängud!F4)</f>
        <v>Hannes Lepik</v>
      </c>
      <c r="F13" s="46"/>
      <c r="G13" s="46"/>
      <c r="J13" s="2"/>
      <c r="M13" s="2"/>
    </row>
    <row r="14" spans="1:13" ht="9.75">
      <c r="A14" s="3">
        <v>12</v>
      </c>
      <c r="B14" s="46" t="str">
        <f>Paigutus!B15&amp;" "&amp;Paigutus!C15</f>
        <v>Kristo Kerno</v>
      </c>
      <c r="C14" s="46"/>
      <c r="D14" s="47"/>
      <c r="E14" s="5"/>
      <c r="F14" s="16" t="str">
        <f>IF(Mängud!G4="","",Mängud!G4)</f>
        <v>3:0</v>
      </c>
      <c r="G14" s="4"/>
      <c r="J14" s="2"/>
      <c r="M14" s="2"/>
    </row>
    <row r="15" spans="7:13" ht="9.75">
      <c r="G15" s="2">
        <v>110</v>
      </c>
      <c r="H15" s="45" t="str">
        <f>IF(Mängud!F11="","",Mängud!F11)</f>
        <v>Almar Rahuoja</v>
      </c>
      <c r="I15" s="46"/>
      <c r="J15" s="46"/>
      <c r="K15" s="19"/>
      <c r="M15" s="2"/>
    </row>
    <row r="16" spans="1:13" ht="9.75">
      <c r="A16" s="3">
        <v>13</v>
      </c>
      <c r="B16" s="46" t="str">
        <f>Paigutus!B16&amp;" "&amp;Paigutus!C16</f>
        <v>Virgo Runno</v>
      </c>
      <c r="C16" s="46"/>
      <c r="D16" s="46"/>
      <c r="G16" s="2"/>
      <c r="H16" s="5"/>
      <c r="I16" s="16" t="str">
        <f>IF(Mängud!G11="","",Mängud!G11)</f>
        <v>3:1</v>
      </c>
      <c r="J16" s="17"/>
      <c r="K16" s="7"/>
      <c r="M16" s="2"/>
    </row>
    <row r="17" spans="4:13" ht="9.75">
      <c r="D17" s="4">
        <v>104</v>
      </c>
      <c r="E17" s="45" t="str">
        <f>IF(Mängud!F5="","",Mängud!F5)</f>
        <v>Almar Rahuoja</v>
      </c>
      <c r="F17" s="46"/>
      <c r="G17" s="46"/>
      <c r="H17" s="19"/>
      <c r="M17" s="2"/>
    </row>
    <row r="18" spans="1:13" ht="9.75">
      <c r="A18" s="3">
        <v>4</v>
      </c>
      <c r="B18" s="46" t="str">
        <f>Paigutus!B7&amp;" "&amp;Paigutus!C7</f>
        <v>Almar Rahuoja</v>
      </c>
      <c r="C18" s="46"/>
      <c r="D18" s="47"/>
      <c r="E18" s="5"/>
      <c r="F18" s="16" t="str">
        <f>IF(Mängud!G5="","",Mängud!G5)</f>
        <v>3:0</v>
      </c>
      <c r="G18" s="17"/>
      <c r="H18" s="7"/>
      <c r="M18" s="2"/>
    </row>
    <row r="19" spans="13:17" ht="9.75">
      <c r="M19" s="2">
        <v>131</v>
      </c>
      <c r="N19" s="45" t="str">
        <f>IF(Mängud!F32="","",Mängud!F32)</f>
        <v>Imre Korsen</v>
      </c>
      <c r="O19" s="46"/>
      <c r="P19" s="46"/>
      <c r="Q19" s="3" t="s">
        <v>5</v>
      </c>
    </row>
    <row r="20" spans="1:15" ht="9.75">
      <c r="A20" s="3">
        <v>3</v>
      </c>
      <c r="B20" s="46" t="str">
        <f>Paigutus!B6&amp;" "&amp;Paigutus!C6</f>
        <v>Raigo Rommot</v>
      </c>
      <c r="C20" s="46"/>
      <c r="D20" s="46"/>
      <c r="M20" s="2"/>
      <c r="N20" s="5"/>
      <c r="O20" s="16" t="str">
        <f>IF(Mängud!G32="","",Mängud!G32)</f>
        <v>3:1</v>
      </c>
    </row>
    <row r="21" spans="4:13" ht="9.75">
      <c r="D21" s="4">
        <v>105</v>
      </c>
      <c r="E21" s="45" t="str">
        <f>IF(Mängud!F6="","",Mängud!F6)</f>
        <v>Raigo Rommot</v>
      </c>
      <c r="F21" s="46"/>
      <c r="G21" s="46"/>
      <c r="M21" s="2"/>
    </row>
    <row r="22" spans="1:13" ht="9.75">
      <c r="A22" s="3">
        <v>14</v>
      </c>
      <c r="B22" s="46" t="str">
        <f>Paigutus!B17&amp;" "&amp;Paigutus!C17</f>
        <v>Siim Esko</v>
      </c>
      <c r="C22" s="46"/>
      <c r="D22" s="47"/>
      <c r="E22" s="5"/>
      <c r="F22" s="16" t="str">
        <f>IF(Mängud!G6="","",Mängud!G6)</f>
        <v>3:0</v>
      </c>
      <c r="G22" s="4"/>
      <c r="M22" s="2"/>
    </row>
    <row r="23" spans="7:13" ht="9.75">
      <c r="G23" s="2">
        <v>111</v>
      </c>
      <c r="H23" s="45" t="str">
        <f>IF(Mängud!F12="","",Mängud!F12)</f>
        <v>Raigo Rommot</v>
      </c>
      <c r="I23" s="46"/>
      <c r="J23" s="46"/>
      <c r="M23" s="2"/>
    </row>
    <row r="24" spans="1:13" ht="9.75">
      <c r="A24" s="3">
        <v>11</v>
      </c>
      <c r="B24" s="46" t="str">
        <f>Paigutus!B14&amp;" "&amp;Paigutus!C14</f>
        <v>Aivar Soo</v>
      </c>
      <c r="C24" s="46"/>
      <c r="D24" s="46"/>
      <c r="G24" s="2"/>
      <c r="H24" s="5"/>
      <c r="I24" s="16" t="str">
        <f>IF(Mängud!G12="","",Mängud!G12)</f>
        <v>3:0</v>
      </c>
      <c r="J24" s="4"/>
      <c r="M24" s="2"/>
    </row>
    <row r="25" spans="4:13" ht="9.75">
      <c r="D25" s="4">
        <v>106</v>
      </c>
      <c r="E25" s="45" t="str">
        <f>IF(Mängud!F7="","",Mängud!F7)</f>
        <v>Tõnu Hansar</v>
      </c>
      <c r="F25" s="46"/>
      <c r="G25" s="46"/>
      <c r="H25" s="19"/>
      <c r="J25" s="2"/>
      <c r="M25" s="2"/>
    </row>
    <row r="26" spans="1:13" ht="9.75">
      <c r="A26" s="3">
        <v>6</v>
      </c>
      <c r="B26" s="46" t="str">
        <f>Paigutus!B9&amp;" "&amp;Paigutus!C9</f>
        <v>Tõnu Hansar</v>
      </c>
      <c r="C26" s="46"/>
      <c r="D26" s="47"/>
      <c r="E26" s="5"/>
      <c r="F26" s="16" t="str">
        <f>IF(Mängud!G7="","",Mängud!G7)</f>
        <v>3:0</v>
      </c>
      <c r="G26" s="17"/>
      <c r="H26" s="7"/>
      <c r="J26" s="2"/>
      <c r="M26" s="2"/>
    </row>
    <row r="27" spans="10:14" ht="9.75">
      <c r="J27" s="2">
        <v>118</v>
      </c>
      <c r="K27" s="45" t="str">
        <f>IF(Mängud!F19="","",Mängud!F19)</f>
        <v>Kalju Kalda</v>
      </c>
      <c r="L27" s="46"/>
      <c r="M27" s="46"/>
      <c r="N27" s="19"/>
    </row>
    <row r="28" spans="1:12" ht="9.75">
      <c r="A28" s="3">
        <v>7</v>
      </c>
      <c r="B28" s="46" t="str">
        <f>Paigutus!B10&amp;" "&amp;Paigutus!C10</f>
        <v>Toomas Hansar</v>
      </c>
      <c r="C28" s="46"/>
      <c r="D28" s="46"/>
      <c r="J28" s="2"/>
      <c r="K28" s="5"/>
      <c r="L28" s="16" t="str">
        <f>IF(Mängud!G19="","",Mängud!G19)</f>
        <v>3:0</v>
      </c>
    </row>
    <row r="29" spans="4:10" ht="9.75">
      <c r="D29" s="4">
        <v>107</v>
      </c>
      <c r="E29" s="45" t="str">
        <f>IF(Mängud!F8="","",Mängud!F8)</f>
        <v>Toomas Hansar</v>
      </c>
      <c r="F29" s="46"/>
      <c r="G29" s="46"/>
      <c r="J29" s="2"/>
    </row>
    <row r="30" spans="1:10" ht="9.75">
      <c r="A30" s="3">
        <v>10</v>
      </c>
      <c r="B30" s="46" t="str">
        <f>Paigutus!B13&amp;" "&amp;Paigutus!C13</f>
        <v>Raivo Roots</v>
      </c>
      <c r="C30" s="46"/>
      <c r="D30" s="47"/>
      <c r="E30" s="5"/>
      <c r="F30" s="16" t="str">
        <f>IF(Mängud!G8="","",Mängud!G8)</f>
        <v>3:2</v>
      </c>
      <c r="G30" s="4"/>
      <c r="J30" s="2"/>
    </row>
    <row r="31" spans="7:11" ht="9.75">
      <c r="G31" s="2">
        <v>112</v>
      </c>
      <c r="H31" s="45" t="str">
        <f>IF(Mängud!F13="","",Mängud!F13)</f>
        <v>Kalju Kalda</v>
      </c>
      <c r="I31" s="46"/>
      <c r="J31" s="46"/>
      <c r="K31" s="19"/>
    </row>
    <row r="32" spans="1:11" ht="9.75">
      <c r="A32" s="3">
        <v>15</v>
      </c>
      <c r="B32" s="46" t="s">
        <v>113</v>
      </c>
      <c r="C32" s="46"/>
      <c r="D32" s="46"/>
      <c r="G32" s="2"/>
      <c r="H32" s="5"/>
      <c r="I32" s="16" t="str">
        <f>IF(Mängud!G13="","",Mängud!G13)</f>
        <v>3:0</v>
      </c>
      <c r="J32" s="17"/>
      <c r="K32" s="7"/>
    </row>
    <row r="33" spans="4:17" ht="9.75">
      <c r="D33" s="4">
        <v>108</v>
      </c>
      <c r="E33" s="45" t="str">
        <f>IF(Mängud!F9="","",Mängud!F9)</f>
        <v>Kalju Kalda</v>
      </c>
      <c r="F33" s="46"/>
      <c r="G33" s="47"/>
      <c r="M33" s="3">
        <v>-131</v>
      </c>
      <c r="N33" s="46" t="str">
        <f>IF(N19="","",IF(N19=K11,K27,K11))</f>
        <v>Kalju Kalda</v>
      </c>
      <c r="O33" s="46"/>
      <c r="P33" s="46"/>
      <c r="Q33" s="3" t="s">
        <v>6</v>
      </c>
    </row>
    <row r="34" spans="1:8" ht="9.75">
      <c r="A34" s="3">
        <v>2</v>
      </c>
      <c r="B34" s="46" t="str">
        <f>Paigutus!B5&amp;" "&amp;Paigutus!C5</f>
        <v>Kalju Kalda</v>
      </c>
      <c r="C34" s="46"/>
      <c r="D34" s="47"/>
      <c r="E34" s="5"/>
      <c r="F34" s="16" t="str">
        <f>IF(Mängud!G9="","",Mängud!G9)</f>
        <v>3:0</v>
      </c>
      <c r="G34" s="17"/>
      <c r="H34" s="7"/>
    </row>
  </sheetData>
  <sheetProtection/>
  <mergeCells count="33">
    <mergeCell ref="B4:D4"/>
    <mergeCell ref="K1:N1"/>
    <mergeCell ref="E5:G5"/>
    <mergeCell ref="B6:D6"/>
    <mergeCell ref="H7:J7"/>
    <mergeCell ref="B8:D8"/>
    <mergeCell ref="E9:G9"/>
    <mergeCell ref="B10:D10"/>
    <mergeCell ref="K11:M11"/>
    <mergeCell ref="B12:D12"/>
    <mergeCell ref="E13:G13"/>
    <mergeCell ref="B14:D14"/>
    <mergeCell ref="H15:J15"/>
    <mergeCell ref="B16:D16"/>
    <mergeCell ref="E17:G17"/>
    <mergeCell ref="B18:D18"/>
    <mergeCell ref="N19:P19"/>
    <mergeCell ref="B20:D20"/>
    <mergeCell ref="E21:G21"/>
    <mergeCell ref="B22:D22"/>
    <mergeCell ref="H23:J23"/>
    <mergeCell ref="B24:D24"/>
    <mergeCell ref="E25:G25"/>
    <mergeCell ref="B26:D26"/>
    <mergeCell ref="K27:M27"/>
    <mergeCell ref="B28:D28"/>
    <mergeCell ref="E29:G29"/>
    <mergeCell ref="N33:P33"/>
    <mergeCell ref="B34:D34"/>
    <mergeCell ref="B30:D30"/>
    <mergeCell ref="H31:J31"/>
    <mergeCell ref="B32:D32"/>
    <mergeCell ref="E33:G33"/>
  </mergeCells>
  <printOptions/>
  <pageMargins left="0.24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R39" sqref="R39"/>
    </sheetView>
  </sheetViews>
  <sheetFormatPr defaultColWidth="9.140625" defaultRowHeight="12.75"/>
  <cols>
    <col min="1" max="19" width="5.7109375" style="0" customWidth="1"/>
  </cols>
  <sheetData>
    <row r="1" spans="11:14" ht="12.75">
      <c r="K1" s="44" t="s">
        <v>7</v>
      </c>
      <c r="L1" s="44"/>
      <c r="M1" s="44"/>
      <c r="N1" s="44"/>
    </row>
    <row r="2" spans="11:14" ht="12.75">
      <c r="K2" s="24"/>
      <c r="L2" s="24"/>
      <c r="M2" s="24"/>
      <c r="N2" s="24"/>
    </row>
    <row r="3" s="1" customFormat="1" ht="9.75"/>
    <row r="4" spans="1:13" s="1" customFormat="1" ht="9.75">
      <c r="A4" s="3">
        <v>-104</v>
      </c>
      <c r="B4" s="46" t="str">
        <f>IF(Plussring!E17="","",IF(Plussring!E17=Plussring!B16,Plussring!B18,Plussring!B16))</f>
        <v>Virgo Runno</v>
      </c>
      <c r="C4" s="46"/>
      <c r="D4" s="46"/>
      <c r="J4" s="3">
        <v>-117</v>
      </c>
      <c r="K4" s="46" t="str">
        <f>IF(Plussring!K11="","",IF(Plussring!K11=Plussring!H7,Plussring!H15,Plussring!H7))</f>
        <v>Almar Rahuoja</v>
      </c>
      <c r="L4" s="46"/>
      <c r="M4" s="46"/>
    </row>
    <row r="5" spans="4:13" s="1" customFormat="1" ht="9.75">
      <c r="D5" s="4">
        <v>113</v>
      </c>
      <c r="E5" s="45" t="str">
        <f>IF(Mängud!F14="","",Mängud!F14)</f>
        <v>Virgo Runno</v>
      </c>
      <c r="F5" s="46"/>
      <c r="G5" s="46"/>
      <c r="M5" s="4"/>
    </row>
    <row r="6" spans="1:16" s="1" customFormat="1" ht="9.75">
      <c r="A6" s="3">
        <v>-103</v>
      </c>
      <c r="B6" s="46" t="str">
        <f>IF(Plussring!E13="","",IF(Plussring!E13=Plussring!B12,Plussring!B14,Plussring!B12))</f>
        <v>Kristo Kerno</v>
      </c>
      <c r="C6" s="46"/>
      <c r="D6" s="47"/>
      <c r="E6" s="5"/>
      <c r="F6" s="16" t="str">
        <f>IF(Mängud!G14="","",Mängud!G14)</f>
        <v>3:1</v>
      </c>
      <c r="G6" s="4">
        <v>119</v>
      </c>
      <c r="H6" s="45" t="str">
        <f>IF(Mängud!F20="","",Mängud!F20)</f>
        <v>Toomas Hansar</v>
      </c>
      <c r="I6" s="46"/>
      <c r="J6" s="46"/>
      <c r="M6" s="2">
        <v>129</v>
      </c>
      <c r="N6" s="45" t="str">
        <f>IF(Mängud!F30="","",Mängud!F30)</f>
        <v>Almar Rahuoja</v>
      </c>
      <c r="O6" s="46"/>
      <c r="P6" s="46"/>
    </row>
    <row r="7" spans="4:16" s="1" customFormat="1" ht="9.75">
      <c r="D7" s="3">
        <v>-112</v>
      </c>
      <c r="E7" s="46" t="str">
        <f>IF(Plussring!H31="","",IF(Plussring!H31=Plussring!E29,Plussring!E33,Plussring!E29))</f>
        <v>Toomas Hansar</v>
      </c>
      <c r="F7" s="46"/>
      <c r="G7" s="47"/>
      <c r="H7" s="5"/>
      <c r="I7" s="16" t="str">
        <f>IF(Mängud!G20="","",Mängud!G20)</f>
        <v>3:1</v>
      </c>
      <c r="J7" s="4"/>
      <c r="M7" s="2"/>
      <c r="N7" s="5"/>
      <c r="O7" s="16" t="str">
        <f>IF(Mängud!G30="","",Mängud!G30)</f>
        <v>3:1</v>
      </c>
      <c r="P7" s="4"/>
    </row>
    <row r="8" spans="1:16" s="1" customFormat="1" ht="9.75">
      <c r="A8" s="3">
        <v>-102</v>
      </c>
      <c r="B8" s="46" t="str">
        <f>IF(Plussring!E9="","",IF(Plussring!E9=Plussring!B8,Plussring!B10,Plussring!B8))</f>
        <v>Heiki Hansar</v>
      </c>
      <c r="C8" s="46"/>
      <c r="D8" s="46"/>
      <c r="E8" s="17"/>
      <c r="J8" s="2">
        <v>125</v>
      </c>
      <c r="K8" s="45" t="str">
        <f>IF(Mängud!F26="","",Mängud!F26)</f>
        <v>Tõnu Hansar</v>
      </c>
      <c r="L8" s="46"/>
      <c r="M8" s="47"/>
      <c r="P8" s="2"/>
    </row>
    <row r="9" spans="4:16" s="1" customFormat="1" ht="9.75">
      <c r="D9" s="4">
        <v>114</v>
      </c>
      <c r="E9" s="45" t="str">
        <f>IF(Mängud!F15="","",Mängud!F15)</f>
        <v>Heiki Hansar</v>
      </c>
      <c r="F9" s="46"/>
      <c r="G9" s="46"/>
      <c r="J9" s="2"/>
      <c r="K9" s="5"/>
      <c r="L9" s="16" t="str">
        <f>IF(Mängud!G26="","",Mängud!G26)</f>
        <v>3:2</v>
      </c>
      <c r="P9" s="2"/>
    </row>
    <row r="10" spans="1:20" s="1" customFormat="1" ht="9.75">
      <c r="A10" s="3">
        <v>-101</v>
      </c>
      <c r="B10" s="46" t="str">
        <f>IF(Plussring!E5="","",IF(Plussring!E5=Plussring!B4,Plussring!B6,Plussring!B4))</f>
        <v>Bye Bye</v>
      </c>
      <c r="C10" s="46"/>
      <c r="D10" s="47"/>
      <c r="E10" s="5"/>
      <c r="F10" s="16" t="str">
        <f>IF(Mängud!G15="","",Mängud!G15)</f>
        <v>w:0</v>
      </c>
      <c r="G10" s="4">
        <v>120</v>
      </c>
      <c r="H10" s="45" t="str">
        <f>IF(Mängud!F21="","",Mängud!F21)</f>
        <v>Tõnu Hansar</v>
      </c>
      <c r="I10" s="46"/>
      <c r="J10" s="46"/>
      <c r="K10" s="19"/>
      <c r="P10" s="2">
        <v>138</v>
      </c>
      <c r="Q10" s="45" t="str">
        <f>IF(Mängud!F39="","",Mängud!F39)</f>
        <v>Almar Rahuoja</v>
      </c>
      <c r="R10" s="46"/>
      <c r="S10" s="46"/>
      <c r="T10" s="3" t="s">
        <v>8</v>
      </c>
    </row>
    <row r="11" spans="4:18" s="1" customFormat="1" ht="9.75">
      <c r="D11" s="3">
        <v>-111</v>
      </c>
      <c r="E11" s="46" t="str">
        <f>IF(Plussring!H23="","",IF(Plussring!H23=Plussring!E21,Plussring!E25,Plussring!E21))</f>
        <v>Tõnu Hansar</v>
      </c>
      <c r="F11" s="46"/>
      <c r="G11" s="47"/>
      <c r="H11" s="5"/>
      <c r="I11" s="16" t="str">
        <f>IF(Mängud!G21="","",Mängud!G21)</f>
        <v>3:1</v>
      </c>
      <c r="J11" s="17"/>
      <c r="K11" s="7"/>
      <c r="P11" s="2"/>
      <c r="Q11" s="5"/>
      <c r="R11" s="16" t="str">
        <f>IF(Mängud!G39="","",Mängud!G39)</f>
        <v>3:0</v>
      </c>
    </row>
    <row r="12" spans="1:16" s="1" customFormat="1" ht="9.75">
      <c r="A12" s="3">
        <v>-108</v>
      </c>
      <c r="B12" s="46" t="str">
        <f>IF(Plussring!E33="","",IF(Plussring!E33=Plussring!B32,Plussring!B34,Plussring!B32))</f>
        <v>Taivo Koitla</v>
      </c>
      <c r="C12" s="46"/>
      <c r="D12" s="46"/>
      <c r="J12" s="3">
        <v>-118</v>
      </c>
      <c r="K12" s="46" t="str">
        <f>IF(Plussring!K27="","",IF(Plussring!K27=Plussring!H23,Plussring!H31,Plussring!H23))</f>
        <v>Raigo Rommot</v>
      </c>
      <c r="L12" s="46"/>
      <c r="M12" s="46"/>
      <c r="P12" s="2"/>
    </row>
    <row r="13" spans="4:16" s="1" customFormat="1" ht="9.75">
      <c r="D13" s="4">
        <v>115</v>
      </c>
      <c r="E13" s="45" t="str">
        <f>IF(Mängud!F16="","",Mängud!F16)</f>
        <v>Raivo Roots</v>
      </c>
      <c r="F13" s="46"/>
      <c r="G13" s="46"/>
      <c r="M13" s="4"/>
      <c r="P13" s="2"/>
    </row>
    <row r="14" spans="1:17" s="1" customFormat="1" ht="9.75">
      <c r="A14" s="3">
        <v>-107</v>
      </c>
      <c r="B14" s="46" t="str">
        <f>IF(Plussring!E29="","",IF(Plussring!E29=Plussring!B28,Plussring!B30,Plussring!B28))</f>
        <v>Raivo Roots</v>
      </c>
      <c r="C14" s="46"/>
      <c r="D14" s="47"/>
      <c r="E14" s="5"/>
      <c r="F14" s="16" t="str">
        <f>IF(Mängud!G16="","",Mängud!G16)</f>
        <v>3:0</v>
      </c>
      <c r="G14" s="4">
        <v>121</v>
      </c>
      <c r="H14" s="45" t="str">
        <f>IF(Mängud!F22="","",Mängud!F22)</f>
        <v>Hannes Lepik</v>
      </c>
      <c r="I14" s="46"/>
      <c r="J14" s="46"/>
      <c r="M14" s="2">
        <v>130</v>
      </c>
      <c r="N14" s="45" t="str">
        <f>IF(Mängud!F31="","",Mängud!F31)</f>
        <v>Hannes Lepik</v>
      </c>
      <c r="O14" s="46"/>
      <c r="P14" s="46"/>
      <c r="Q14" s="19"/>
    </row>
    <row r="15" spans="4:17" s="1" customFormat="1" ht="9.75">
      <c r="D15" s="3">
        <v>-110</v>
      </c>
      <c r="E15" s="46" t="str">
        <f>IF(Plussring!H15="","",IF(Plussring!H15=Plussring!E13,Plussring!E17,Plussring!E13))</f>
        <v>Hannes Lepik</v>
      </c>
      <c r="F15" s="46"/>
      <c r="G15" s="47"/>
      <c r="H15" s="5"/>
      <c r="I15" s="16" t="str">
        <f>IF(Mängud!G22="","",Mängud!G22)</f>
        <v>3:0</v>
      </c>
      <c r="J15" s="4"/>
      <c r="M15" s="2"/>
      <c r="N15" s="5"/>
      <c r="O15" s="16" t="str">
        <f>IF(Mängud!G31="","",Mängud!G31)</f>
        <v>3:2</v>
      </c>
      <c r="P15" s="17"/>
      <c r="Q15" s="7"/>
    </row>
    <row r="16" spans="1:20" s="1" customFormat="1" ht="9.75">
      <c r="A16" s="3">
        <v>-106</v>
      </c>
      <c r="B16" s="46" t="str">
        <f>IF(Plussring!E25="","",IF(Plussring!E25=Plussring!B24,Plussring!B26,Plussring!B24))</f>
        <v>Aivar Soo</v>
      </c>
      <c r="C16" s="46"/>
      <c r="D16" s="46"/>
      <c r="J16" s="2">
        <v>126</v>
      </c>
      <c r="K16" s="45" t="str">
        <f>IF(Mängud!F27="","",Mängud!F27)</f>
        <v>Hannes Lepik</v>
      </c>
      <c r="L16" s="46"/>
      <c r="M16" s="47"/>
      <c r="P16" s="3">
        <v>-138</v>
      </c>
      <c r="Q16" s="46" t="str">
        <f>IF(Q10="","",IF(Q10=N6,N14,N6))</f>
        <v>Hannes Lepik</v>
      </c>
      <c r="R16" s="46"/>
      <c r="S16" s="46"/>
      <c r="T16" s="3" t="s">
        <v>9</v>
      </c>
    </row>
    <row r="17" spans="4:12" s="1" customFormat="1" ht="9.75">
      <c r="D17" s="4">
        <v>116</v>
      </c>
      <c r="E17" s="45" t="str">
        <f>IF(Mängud!F17="","",Mängud!F17)</f>
        <v>Aivar Soo</v>
      </c>
      <c r="F17" s="46"/>
      <c r="G17" s="46"/>
      <c r="J17" s="2"/>
      <c r="K17" s="5"/>
      <c r="L17" s="16" t="str">
        <f>IF(Mängud!G27="","",Mängud!G27)</f>
        <v>3:1</v>
      </c>
    </row>
    <row r="18" spans="1:16" s="1" customFormat="1" ht="9.75">
      <c r="A18" s="3">
        <v>-105</v>
      </c>
      <c r="B18" s="46" t="str">
        <f>IF(Plussring!E21="","",IF(Plussring!E21=Plussring!B20,Plussring!B22,Plussring!B20))</f>
        <v>Siim Esko</v>
      </c>
      <c r="C18" s="46"/>
      <c r="D18" s="47"/>
      <c r="E18" s="5"/>
      <c r="F18" s="16" t="str">
        <f>IF(Mängud!G17="","",Mängud!G17)</f>
        <v>3:1</v>
      </c>
      <c r="G18" s="4">
        <v>122</v>
      </c>
      <c r="H18" s="45" t="str">
        <f>IF(Mängud!F23="","",Mängud!F23)</f>
        <v>Andrus Plamus</v>
      </c>
      <c r="I18" s="46"/>
      <c r="J18" s="46"/>
      <c r="K18" s="19"/>
      <c r="M18" s="3">
        <v>-129</v>
      </c>
      <c r="N18" s="46" t="str">
        <f>IF(N6="","",IF(N6=K4,K8,K4))</f>
        <v>Tõnu Hansar</v>
      </c>
      <c r="O18" s="46"/>
      <c r="P18" s="46"/>
    </row>
    <row r="19" spans="4:20" s="1" customFormat="1" ht="9.75">
      <c r="D19" s="3">
        <v>-109</v>
      </c>
      <c r="E19" s="46" t="str">
        <f>IF(Plussring!H7="","",IF(Plussring!H7=Plussring!E5,Plussring!E9,Plussring!E5))</f>
        <v>Andrus Plamus</v>
      </c>
      <c r="F19" s="46"/>
      <c r="G19" s="47"/>
      <c r="H19" s="5"/>
      <c r="I19" s="16" t="str">
        <f>IF(Mängud!G23="","",Mängud!G23)</f>
        <v>3:0</v>
      </c>
      <c r="J19" s="17"/>
      <c r="K19" s="7"/>
      <c r="P19" s="4">
        <v>137</v>
      </c>
      <c r="Q19" s="45" t="str">
        <f>IF(Mängud!F38="","",Mängud!F38)</f>
        <v>Raigo Rommot</v>
      </c>
      <c r="R19" s="46"/>
      <c r="S19" s="46"/>
      <c r="T19" s="3" t="s">
        <v>10</v>
      </c>
    </row>
    <row r="20" spans="2:18" s="1" customFormat="1" ht="9.75">
      <c r="B20" s="7"/>
      <c r="C20" s="7"/>
      <c r="D20" s="7"/>
      <c r="M20" s="3">
        <v>-130</v>
      </c>
      <c r="N20" s="46" t="str">
        <f>IF(N14="","",IF(N14=K12,K16,K12))</f>
        <v>Raigo Rommot</v>
      </c>
      <c r="O20" s="46"/>
      <c r="P20" s="47"/>
      <c r="Q20" s="5"/>
      <c r="R20" s="16" t="str">
        <f>IF(Mängud!G38="","",Mängud!G38)</f>
        <v>3:0</v>
      </c>
    </row>
    <row r="21" spans="1:20" s="1" customFormat="1" ht="9.75">
      <c r="A21" s="3">
        <v>-119</v>
      </c>
      <c r="B21" s="46" t="str">
        <f>IF(H6="","",IF(H6=E5,E7,E5))</f>
        <v>Virgo Runno</v>
      </c>
      <c r="C21" s="46"/>
      <c r="D21" s="46"/>
      <c r="P21" s="3">
        <v>-137</v>
      </c>
      <c r="Q21" s="46" t="str">
        <f>IF(Q19="","",IF(Q19=N18,N20,N18))</f>
        <v>Tõnu Hansar</v>
      </c>
      <c r="R21" s="46"/>
      <c r="S21" s="46"/>
      <c r="T21" s="3" t="s">
        <v>11</v>
      </c>
    </row>
    <row r="22" spans="2:19" s="1" customFormat="1" ht="9.75">
      <c r="B22" s="7"/>
      <c r="C22" s="7"/>
      <c r="D22" s="4">
        <v>127</v>
      </c>
      <c r="E22" s="45" t="str">
        <f>IF(Mängud!F28="","",Mängud!F28)</f>
        <v>Virgo Runno</v>
      </c>
      <c r="F22" s="46"/>
      <c r="G22" s="46"/>
      <c r="Q22" s="7"/>
      <c r="R22" s="7"/>
      <c r="S22" s="7"/>
    </row>
    <row r="23" spans="1:16" s="1" customFormat="1" ht="9.75">
      <c r="A23" s="3">
        <v>-120</v>
      </c>
      <c r="B23" s="46" t="str">
        <f>IF(H10="","",IF(H10=E9,E11,E9))</f>
        <v>Heiki Hansar</v>
      </c>
      <c r="C23" s="46"/>
      <c r="D23" s="46"/>
      <c r="E23" s="23"/>
      <c r="F23" s="16" t="str">
        <f>IF(Mängud!G28="","",Mängud!G28)</f>
        <v>3:0</v>
      </c>
      <c r="G23" s="4"/>
      <c r="M23" s="3">
        <v>-125</v>
      </c>
      <c r="N23" s="46" t="str">
        <f>IF(K8="","",IF(K8=H6,H10,H6))</f>
        <v>Toomas Hansar</v>
      </c>
      <c r="O23" s="46"/>
      <c r="P23" s="46"/>
    </row>
    <row r="24" spans="7:20" s="1" customFormat="1" ht="9.75">
      <c r="G24" s="2">
        <v>135</v>
      </c>
      <c r="H24" s="45" t="str">
        <f>IF(Mängud!F36="","",Mängud!F36)</f>
        <v>Virgo Runno</v>
      </c>
      <c r="I24" s="46"/>
      <c r="J24" s="46"/>
      <c r="K24" s="3" t="s">
        <v>12</v>
      </c>
      <c r="N24" s="7"/>
      <c r="O24" s="7"/>
      <c r="P24" s="4">
        <v>136</v>
      </c>
      <c r="Q24" s="45" t="str">
        <f>IF(Mängud!F37="","",Mängud!F37)</f>
        <v>Toomas Hansar</v>
      </c>
      <c r="R24" s="46"/>
      <c r="S24" s="46"/>
      <c r="T24" s="3" t="s">
        <v>13</v>
      </c>
    </row>
    <row r="25" spans="1:19" s="1" customFormat="1" ht="9.75">
      <c r="A25" s="3">
        <v>-121</v>
      </c>
      <c r="B25" s="46" t="str">
        <f>IF(H14="","",IF(H14=E13,E15,E13))</f>
        <v>Raivo Roots</v>
      </c>
      <c r="C25" s="46"/>
      <c r="D25" s="46"/>
      <c r="G25" s="2"/>
      <c r="H25" s="5"/>
      <c r="I25" s="16" t="str">
        <f>IF(Mängud!G36="","",Mängud!G36)</f>
        <v>3:1</v>
      </c>
      <c r="M25" s="3">
        <v>-126</v>
      </c>
      <c r="N25" s="46" t="str">
        <f>IF(K16="","",IF(K16=H14,H18,H14))</f>
        <v>Andrus Plamus</v>
      </c>
      <c r="O25" s="46"/>
      <c r="P25" s="47"/>
      <c r="Q25" s="8"/>
      <c r="R25" s="20" t="str">
        <f>IF(Mängud!G37="","",Mängud!G37)</f>
        <v>3:1</v>
      </c>
      <c r="S25" s="7"/>
    </row>
    <row r="26" spans="4:20" s="1" customFormat="1" ht="9.75">
      <c r="D26" s="4">
        <v>128</v>
      </c>
      <c r="E26" s="45" t="str">
        <f>IF(Mängud!F29="","",Mängud!F29)</f>
        <v>Raivo Roots</v>
      </c>
      <c r="F26" s="46"/>
      <c r="G26" s="46"/>
      <c r="H26" s="19"/>
      <c r="N26" s="7"/>
      <c r="O26" s="7"/>
      <c r="P26" s="9">
        <v>-136</v>
      </c>
      <c r="Q26" s="46" t="str">
        <f>IF(Q24="","",IF(Q24=N23,N25,N23))</f>
        <v>Andrus Plamus</v>
      </c>
      <c r="R26" s="46"/>
      <c r="S26" s="46"/>
      <c r="T26" s="3" t="s">
        <v>14</v>
      </c>
    </row>
    <row r="27" spans="1:19" s="1" customFormat="1" ht="9.75">
      <c r="A27" s="3">
        <v>-122</v>
      </c>
      <c r="B27" s="46" t="str">
        <f>IF(H18="","",IF(H18=E17,E19,E17))</f>
        <v>Aivar Soo</v>
      </c>
      <c r="C27" s="46"/>
      <c r="D27" s="47"/>
      <c r="E27" s="5"/>
      <c r="F27" s="16" t="str">
        <f>IF(Mängud!G29="","",Mängud!G29)</f>
        <v>3:1</v>
      </c>
      <c r="G27" s="17"/>
      <c r="H27" s="7"/>
      <c r="N27" s="7"/>
      <c r="O27" s="7"/>
      <c r="P27" s="7"/>
      <c r="Q27" s="7"/>
      <c r="R27" s="7"/>
      <c r="S27" s="7"/>
    </row>
    <row r="28" spans="7:19" s="1" customFormat="1" ht="9.75">
      <c r="G28" s="3">
        <v>-135</v>
      </c>
      <c r="H28" s="49" t="s">
        <v>98</v>
      </c>
      <c r="I28" s="49"/>
      <c r="J28" s="49"/>
      <c r="K28" s="3" t="s">
        <v>15</v>
      </c>
      <c r="M28" s="3">
        <v>-127</v>
      </c>
      <c r="N28" s="46" t="str">
        <f>IF(E22="","",IF(E22=B21,B23,B21))</f>
        <v>Heiki Hansar</v>
      </c>
      <c r="O28" s="46"/>
      <c r="P28" s="46"/>
      <c r="Q28" s="7"/>
      <c r="R28" s="7"/>
      <c r="S28" s="7"/>
    </row>
    <row r="29" spans="1:20" s="1" customFormat="1" ht="9.75">
      <c r="A29" s="3">
        <v>-113</v>
      </c>
      <c r="B29" s="46" t="str">
        <f>IF(E5="","",IF(E5=B4,B6,B4))</f>
        <v>Kristo Kerno</v>
      </c>
      <c r="C29" s="46"/>
      <c r="D29" s="46"/>
      <c r="P29" s="4">
        <v>134</v>
      </c>
      <c r="Q29" s="45" t="str">
        <f>IF(Mängud!F35="","",Mängud!F35)</f>
        <v>Heiki Hansar</v>
      </c>
      <c r="R29" s="46"/>
      <c r="S29" s="46"/>
      <c r="T29" s="3" t="s">
        <v>16</v>
      </c>
    </row>
    <row r="30" spans="4:18" s="1" customFormat="1" ht="9.75">
      <c r="D30" s="4">
        <v>123</v>
      </c>
      <c r="E30" s="45" t="str">
        <f>IF(Mängud!F24="","",Mängud!F24)</f>
        <v>Kristo Kerno</v>
      </c>
      <c r="F30" s="46"/>
      <c r="G30" s="46"/>
      <c r="M30" s="3">
        <v>-128</v>
      </c>
      <c r="N30" s="46" t="str">
        <f>IF(E26="","",IF(E26=B25,B27,B25))</f>
        <v>Aivar Soo</v>
      </c>
      <c r="O30" s="46"/>
      <c r="P30" s="47"/>
      <c r="Q30" s="5"/>
      <c r="R30" s="16" t="str">
        <f>IF(Mängud!G35="","",Mängud!G35)</f>
        <v>3:2</v>
      </c>
    </row>
    <row r="31" spans="1:20" s="1" customFormat="1" ht="9.75">
      <c r="A31" s="3">
        <v>-114</v>
      </c>
      <c r="B31" s="46" t="str">
        <f>IF(E9="","",IF(E9=B8,B10,B8))</f>
        <v>Bye Bye</v>
      </c>
      <c r="C31" s="46"/>
      <c r="D31" s="47"/>
      <c r="E31" s="5"/>
      <c r="F31" s="16" t="str">
        <f>IF(Mängud!G24="","",Mängud!G24)</f>
        <v>w:0</v>
      </c>
      <c r="G31" s="4"/>
      <c r="P31" s="3">
        <v>-134</v>
      </c>
      <c r="Q31" s="46" t="str">
        <f>IF(Q29="","",IF(Q29=N28,N30,N28))</f>
        <v>Aivar Soo</v>
      </c>
      <c r="R31" s="46"/>
      <c r="S31" s="46"/>
      <c r="T31" s="3" t="s">
        <v>17</v>
      </c>
    </row>
    <row r="32" spans="7:11" s="1" customFormat="1" ht="9.75">
      <c r="G32" s="2">
        <v>133</v>
      </c>
      <c r="H32" s="50" t="s">
        <v>104</v>
      </c>
      <c r="I32" s="49"/>
      <c r="J32" s="49"/>
      <c r="K32" s="3" t="s">
        <v>18</v>
      </c>
    </row>
    <row r="33" spans="1:16" s="1" customFormat="1" ht="9.75">
      <c r="A33" s="3">
        <v>-115</v>
      </c>
      <c r="B33" s="46" t="str">
        <f>IF(E13="","",IF(E13=B12,B14,B12))</f>
        <v>Taivo Koitla</v>
      </c>
      <c r="C33" s="46"/>
      <c r="D33" s="46"/>
      <c r="G33" s="2"/>
      <c r="H33" s="5"/>
      <c r="I33" s="16" t="str">
        <f>Mängud!G34</f>
        <v>3:0</v>
      </c>
      <c r="M33" s="3">
        <v>-123</v>
      </c>
      <c r="N33" s="46" t="str">
        <f>IF(E30="","",IF(E30=B29,B31,B29))</f>
        <v>Bye Bye</v>
      </c>
      <c r="O33" s="46"/>
      <c r="P33" s="46"/>
    </row>
    <row r="34" spans="4:20" s="1" customFormat="1" ht="9.75">
      <c r="D34" s="4">
        <v>124</v>
      </c>
      <c r="E34" s="45" t="str">
        <f>IF(Mängud!F25="","",Mängud!F25)</f>
        <v>Siim Esko</v>
      </c>
      <c r="F34" s="46"/>
      <c r="G34" s="46"/>
      <c r="H34" s="19"/>
      <c r="P34" s="4">
        <v>132</v>
      </c>
      <c r="Q34" s="45" t="str">
        <f>IF(Mängud!F33="","",Mängud!F33)</f>
        <v>Taivo Koitla</v>
      </c>
      <c r="R34" s="46"/>
      <c r="S34" s="46"/>
      <c r="T34" s="3" t="s">
        <v>19</v>
      </c>
    </row>
    <row r="35" spans="1:18" s="1" customFormat="1" ht="9.75">
      <c r="A35" s="3">
        <v>-116</v>
      </c>
      <c r="B35" s="46" t="str">
        <f>IF(E17="","",IF(E17=B16,B18,B16))</f>
        <v>Siim Esko</v>
      </c>
      <c r="C35" s="46"/>
      <c r="D35" s="47"/>
      <c r="E35" s="5"/>
      <c r="F35" s="16" t="str">
        <f>IF(Mängud!G25="","",Mängud!G25)</f>
        <v>3:2</v>
      </c>
      <c r="G35" s="17"/>
      <c r="H35" s="7"/>
      <c r="M35" s="3">
        <v>-124</v>
      </c>
      <c r="N35" s="46" t="str">
        <f>IF(E34="","",IF(E34=B33,B35,B33))</f>
        <v>Taivo Koitla</v>
      </c>
      <c r="O35" s="46"/>
      <c r="P35" s="47"/>
      <c r="Q35" s="5"/>
      <c r="R35" s="16" t="str">
        <f>IF(Mängud!G33="","",Mängud!G33)</f>
        <v>w:0</v>
      </c>
    </row>
    <row r="36" spans="7:20" s="1" customFormat="1" ht="9.75">
      <c r="G36" s="3">
        <v>-133</v>
      </c>
      <c r="H36" s="46" t="str">
        <f>IF(H32="","",IF(H32=E30,E34,E30))</f>
        <v>Siim Esko</v>
      </c>
      <c r="I36" s="46"/>
      <c r="J36" s="46"/>
      <c r="K36" s="3" t="s">
        <v>20</v>
      </c>
      <c r="P36" s="3">
        <v>-132</v>
      </c>
      <c r="Q36" s="46" t="str">
        <f>IF(Q34="","",IF(Q34=N33,N35,N33))</f>
        <v>Bye Bye</v>
      </c>
      <c r="R36" s="46"/>
      <c r="S36" s="46"/>
      <c r="T36" s="3" t="s">
        <v>21</v>
      </c>
    </row>
    <row r="37" s="1" customFormat="1" ht="9.75"/>
  </sheetData>
  <sheetProtection/>
  <mergeCells count="61">
    <mergeCell ref="Q34:S34"/>
    <mergeCell ref="B35:D35"/>
    <mergeCell ref="N35:P35"/>
    <mergeCell ref="H36:J36"/>
    <mergeCell ref="Q36:S36"/>
    <mergeCell ref="H32:J32"/>
    <mergeCell ref="B33:D33"/>
    <mergeCell ref="N33:P33"/>
    <mergeCell ref="E34:G34"/>
    <mergeCell ref="Q29:S29"/>
    <mergeCell ref="E30:G30"/>
    <mergeCell ref="N30:P30"/>
    <mergeCell ref="B31:D31"/>
    <mergeCell ref="Q31:S31"/>
    <mergeCell ref="B27:D27"/>
    <mergeCell ref="H28:J28"/>
    <mergeCell ref="N28:P28"/>
    <mergeCell ref="B29:D29"/>
    <mergeCell ref="Q24:S24"/>
    <mergeCell ref="B25:D25"/>
    <mergeCell ref="N25:P25"/>
    <mergeCell ref="E26:G26"/>
    <mergeCell ref="Q26:S26"/>
    <mergeCell ref="E22:G22"/>
    <mergeCell ref="B23:D23"/>
    <mergeCell ref="N23:P23"/>
    <mergeCell ref="H24:J24"/>
    <mergeCell ref="E19:G19"/>
    <mergeCell ref="Q19:S19"/>
    <mergeCell ref="N20:P20"/>
    <mergeCell ref="B21:D21"/>
    <mergeCell ref="Q21:S21"/>
    <mergeCell ref="E17:G17"/>
    <mergeCell ref="B18:D18"/>
    <mergeCell ref="H18:J18"/>
    <mergeCell ref="N18:P18"/>
    <mergeCell ref="E15:G15"/>
    <mergeCell ref="B16:D16"/>
    <mergeCell ref="K16:M16"/>
    <mergeCell ref="Q16:S16"/>
    <mergeCell ref="E13:G13"/>
    <mergeCell ref="B14:D14"/>
    <mergeCell ref="H14:J14"/>
    <mergeCell ref="N14:P14"/>
    <mergeCell ref="Q10:S10"/>
    <mergeCell ref="E11:G11"/>
    <mergeCell ref="B12:D12"/>
    <mergeCell ref="K12:M12"/>
    <mergeCell ref="B8:D8"/>
    <mergeCell ref="K8:M8"/>
    <mergeCell ref="E9:G9"/>
    <mergeCell ref="B10:D10"/>
    <mergeCell ref="H10:J10"/>
    <mergeCell ref="B6:D6"/>
    <mergeCell ref="H6:J6"/>
    <mergeCell ref="N6:P6"/>
    <mergeCell ref="E7:G7"/>
    <mergeCell ref="K1:N1"/>
    <mergeCell ref="B4:D4"/>
    <mergeCell ref="K4:M4"/>
    <mergeCell ref="E5:G5"/>
  </mergeCells>
  <printOptions/>
  <pageMargins left="0.18" right="0.1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9"/>
  <sheetViews>
    <sheetView zoomScale="153" zoomScaleNormal="153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9" sqref="G39"/>
    </sheetView>
  </sheetViews>
  <sheetFormatPr defaultColWidth="9.140625" defaultRowHeight="12.75"/>
  <cols>
    <col min="2" max="2" width="13.8515625" style="0" customWidth="1"/>
    <col min="3" max="3" width="14.28125" style="0" customWidth="1"/>
    <col min="5" max="5" width="9.140625" style="0" hidden="1" customWidth="1"/>
    <col min="6" max="6" width="14.00390625" style="0" customWidth="1"/>
    <col min="8" max="8" width="10.140625" style="0" bestFit="1" customWidth="1"/>
    <col min="9" max="9" width="0" style="0" hidden="1" customWidth="1"/>
    <col min="10" max="10" width="11.00390625" style="0" hidden="1" customWidth="1"/>
    <col min="11" max="12" width="0" style="0" hidden="1" customWidth="1"/>
    <col min="14" max="22" width="2.00390625" style="0" bestFit="1" customWidth="1"/>
    <col min="23" max="29" width="3.00390625" style="0" bestFit="1" customWidth="1"/>
  </cols>
  <sheetData>
    <row r="1" spans="1:29" s="10" customFormat="1" ht="12.75">
      <c r="A1" s="10" t="s">
        <v>22</v>
      </c>
      <c r="B1" s="10" t="s">
        <v>23</v>
      </c>
      <c r="C1" s="10" t="s">
        <v>24</v>
      </c>
      <c r="D1" s="10" t="s">
        <v>25</v>
      </c>
      <c r="E1" s="10" t="s">
        <v>38</v>
      </c>
      <c r="F1" s="10" t="s">
        <v>26</v>
      </c>
      <c r="G1" s="11" t="s">
        <v>27</v>
      </c>
      <c r="J1" s="12" t="s">
        <v>28</v>
      </c>
      <c r="M1" s="10" t="s">
        <v>29</v>
      </c>
      <c r="N1" s="25">
        <f>IF(COUNTIF($I:$I,1)=1,"",1)</f>
        <v>1</v>
      </c>
      <c r="O1" s="25">
        <f>IF(COUNTIF($I:$I,2)=1,"",2)</f>
        <v>2</v>
      </c>
      <c r="P1" s="25">
        <f>IF(COUNTIF($I:$I,3)=1,"",3)</f>
        <v>3</v>
      </c>
      <c r="Q1" s="25">
        <f>IF(COUNTIF($I:$I,4)=1,"",4)</f>
        <v>4</v>
      </c>
      <c r="R1" s="25">
        <f>IF(COUNTIF($I:$I,5)=1,"",5)</f>
        <v>5</v>
      </c>
      <c r="S1" s="25">
        <f>IF(COUNTIF($I:$I,6)=1,"",6)</f>
        <v>6</v>
      </c>
      <c r="T1" s="25">
        <f>IF(COUNTIF($I:$I,7)=1,"",7)</f>
        <v>7</v>
      </c>
      <c r="U1" s="25">
        <f>IF(COUNTIF($I:$I,8)=1,"",8)</f>
        <v>8</v>
      </c>
      <c r="V1" s="25">
        <f>IF(COUNTIF($I:$I,9)=1,"",9)</f>
        <v>9</v>
      </c>
      <c r="W1" s="25">
        <f>IF(COUNTIF($I:$I,10)=1,"",10)</f>
        <v>10</v>
      </c>
      <c r="X1" s="25">
        <f>IF(COUNTIF($I:$I,11)=1,"",11)</f>
        <v>11</v>
      </c>
      <c r="Y1" s="25">
        <f>IF(COUNTIF($I:$I,12)=1,"",12)</f>
        <v>12</v>
      </c>
      <c r="Z1" s="25">
        <f>IF(COUNTIF($I:$I,13)=1,"",13)</f>
        <v>13</v>
      </c>
      <c r="AA1" s="25">
        <f>IF(COUNTIF($I:$I,14)=1,"",14)</f>
        <v>14</v>
      </c>
      <c r="AB1" s="25">
        <f>IF(COUNTIF($I:$I,15)=1,"",15)</f>
        <v>15</v>
      </c>
      <c r="AC1" s="25">
        <f>IF(COUNTIF($I:$I,16)=1,"",16)</f>
        <v>16</v>
      </c>
    </row>
    <row r="2" spans="1:15" ht="12.75">
      <c r="A2">
        <v>101</v>
      </c>
      <c r="B2" t="str">
        <f>IF(Plussring!B4="","",Plussring!B4)</f>
        <v>Imre Korsen</v>
      </c>
      <c r="C2" t="str">
        <f>IF(Plussring!B6="","",Plussring!B6)</f>
        <v>Bye Bye</v>
      </c>
      <c r="E2">
        <f>IF(G2=0,D2,"")</f>
      </c>
      <c r="F2" t="s">
        <v>73</v>
      </c>
      <c r="G2" s="15" t="s">
        <v>33</v>
      </c>
      <c r="I2">
        <f>IF(D2="","",IF(F2="",D2,""))</f>
      </c>
      <c r="J2" s="13" t="s">
        <v>30</v>
      </c>
      <c r="K2" s="14">
        <v>1</v>
      </c>
      <c r="L2">
        <f>COUNTIF(E:E,1)</f>
        <v>0</v>
      </c>
      <c r="O2" s="18"/>
    </row>
    <row r="3" spans="1:12" ht="12.75">
      <c r="A3">
        <v>102</v>
      </c>
      <c r="B3" t="str">
        <f>IF(Plussring!B8="","",Plussring!B8)</f>
        <v>Heiki Hansar</v>
      </c>
      <c r="C3" t="str">
        <f>IF(Plussring!B10="","",Plussring!B10)</f>
        <v>Andrus Plamus</v>
      </c>
      <c r="D3">
        <v>1</v>
      </c>
      <c r="E3">
        <f aca="true" t="shared" si="0" ref="E3:E12">IF(G3=0,D3,"")</f>
      </c>
      <c r="F3" t="s">
        <v>93</v>
      </c>
      <c r="G3" s="15" t="s">
        <v>32</v>
      </c>
      <c r="I3">
        <f aca="true" t="shared" si="1" ref="I3:I39">IF(D3="","",IF(F3="",D3,""))</f>
      </c>
      <c r="J3" s="13" t="s">
        <v>31</v>
      </c>
      <c r="K3">
        <v>2</v>
      </c>
      <c r="L3">
        <f>COUNTIF(E:E,2)</f>
        <v>0</v>
      </c>
    </row>
    <row r="4" spans="1:12" ht="12.75">
      <c r="A4">
        <v>103</v>
      </c>
      <c r="B4" t="str">
        <f>IF(Plussring!B12="","",Plussring!B12)</f>
        <v>Hannes Lepik</v>
      </c>
      <c r="C4" t="str">
        <f>IF(Plussring!B14="","",Plussring!B14)</f>
        <v>Kristo Kerno</v>
      </c>
      <c r="D4">
        <v>2</v>
      </c>
      <c r="E4">
        <f t="shared" si="0"/>
      </c>
      <c r="F4" t="s">
        <v>85</v>
      </c>
      <c r="G4" s="15" t="s">
        <v>30</v>
      </c>
      <c r="I4">
        <f t="shared" si="1"/>
      </c>
      <c r="J4" s="13" t="s">
        <v>32</v>
      </c>
      <c r="K4">
        <v>3</v>
      </c>
      <c r="L4">
        <f>COUNTIF(E:E,3)</f>
        <v>0</v>
      </c>
    </row>
    <row r="5" spans="1:12" ht="12.75">
      <c r="A5">
        <v>104</v>
      </c>
      <c r="B5" t="str">
        <f>IF(Plussring!B16="","",Plussring!B16)</f>
        <v>Virgo Runno</v>
      </c>
      <c r="C5" t="str">
        <f>IF(Plussring!B18="","",Plussring!B18)</f>
        <v>Almar Rahuoja</v>
      </c>
      <c r="D5">
        <v>3</v>
      </c>
      <c r="E5">
        <f t="shared" si="0"/>
      </c>
      <c r="F5" t="s">
        <v>82</v>
      </c>
      <c r="G5" s="15" t="s">
        <v>30</v>
      </c>
      <c r="I5">
        <f t="shared" si="1"/>
      </c>
      <c r="J5" s="13" t="s">
        <v>33</v>
      </c>
      <c r="K5">
        <v>4</v>
      </c>
      <c r="L5">
        <f>COUNTIF(E:E,4)</f>
        <v>0</v>
      </c>
    </row>
    <row r="6" spans="1:12" ht="12.75">
      <c r="A6">
        <v>105</v>
      </c>
      <c r="B6" t="str">
        <f>IF(Plussring!B20="","",Plussring!B20)</f>
        <v>Raigo Rommot</v>
      </c>
      <c r="C6" t="str">
        <f>IF(Plussring!B22="","",Plussring!B22)</f>
        <v>Siim Esko</v>
      </c>
      <c r="D6">
        <v>4</v>
      </c>
      <c r="E6">
        <f t="shared" si="0"/>
      </c>
      <c r="F6" t="s">
        <v>79</v>
      </c>
      <c r="G6" s="15" t="s">
        <v>30</v>
      </c>
      <c r="I6">
        <f t="shared" si="1"/>
      </c>
      <c r="J6" s="13" t="s">
        <v>39</v>
      </c>
      <c r="K6">
        <v>5</v>
      </c>
      <c r="L6">
        <f>COUNTIF(E:E,5)</f>
        <v>0</v>
      </c>
    </row>
    <row r="7" spans="1:12" ht="12.75">
      <c r="A7">
        <v>106</v>
      </c>
      <c r="B7" t="str">
        <f>IF(Plussring!B24="","",Plussring!B24)</f>
        <v>Aivar Soo</v>
      </c>
      <c r="C7" t="str">
        <f>IF(Plussring!B26="","",Plussring!B26)</f>
        <v>Tõnu Hansar</v>
      </c>
      <c r="D7">
        <v>5</v>
      </c>
      <c r="E7">
        <f t="shared" si="0"/>
      </c>
      <c r="F7" t="s">
        <v>88</v>
      </c>
      <c r="G7" s="15" t="s">
        <v>30</v>
      </c>
      <c r="I7">
        <f t="shared" si="1"/>
      </c>
      <c r="J7" s="13" t="s">
        <v>40</v>
      </c>
      <c r="K7">
        <v>6</v>
      </c>
      <c r="L7">
        <f>COUNTIF(E:E,6)</f>
        <v>0</v>
      </c>
    </row>
    <row r="8" spans="1:12" ht="12.75">
      <c r="A8">
        <v>107</v>
      </c>
      <c r="B8" t="str">
        <f>IF(Plussring!B28="","",Plussring!B28)</f>
        <v>Toomas Hansar</v>
      </c>
      <c r="C8" t="str">
        <f>IF(Plussring!B30="","",Plussring!B30)</f>
        <v>Raivo Roots</v>
      </c>
      <c r="D8">
        <v>5</v>
      </c>
      <c r="E8">
        <f t="shared" si="0"/>
      </c>
      <c r="F8" t="s">
        <v>90</v>
      </c>
      <c r="G8" s="15" t="s">
        <v>32</v>
      </c>
      <c r="I8">
        <f t="shared" si="1"/>
      </c>
      <c r="J8" s="13" t="s">
        <v>41</v>
      </c>
      <c r="K8">
        <v>7</v>
      </c>
      <c r="L8">
        <f>COUNTIF(E:E,7)</f>
        <v>0</v>
      </c>
    </row>
    <row r="9" spans="1:12" ht="12.75">
      <c r="A9">
        <v>108</v>
      </c>
      <c r="B9" t="str">
        <f>IF(Plussring!B32="","",Plussring!B32)</f>
        <v>Taivo Koitla</v>
      </c>
      <c r="C9" t="str">
        <f>IF(Plussring!B34="","",Plussring!B34)</f>
        <v>Kalju Kalda</v>
      </c>
      <c r="E9">
        <f t="shared" si="0"/>
      </c>
      <c r="F9" t="s">
        <v>76</v>
      </c>
      <c r="G9" s="15" t="s">
        <v>30</v>
      </c>
      <c r="I9">
        <f t="shared" si="1"/>
      </c>
      <c r="J9" s="13" t="s">
        <v>42</v>
      </c>
      <c r="K9">
        <v>8</v>
      </c>
      <c r="L9">
        <f>COUNTIF(E:E,8)</f>
        <v>0</v>
      </c>
    </row>
    <row r="10" spans="1:12" ht="12.75">
      <c r="A10">
        <v>109</v>
      </c>
      <c r="B10" t="str">
        <f>IF(Plussring!E5="","",Plussring!E5)</f>
        <v>Imre Korsen</v>
      </c>
      <c r="C10" t="str">
        <f>IF(Plussring!E9="","",Plussring!E9)</f>
        <v>Andrus Plamus</v>
      </c>
      <c r="D10">
        <v>2</v>
      </c>
      <c r="E10">
        <f t="shared" si="0"/>
      </c>
      <c r="F10" t="s">
        <v>73</v>
      </c>
      <c r="G10" s="15" t="s">
        <v>30</v>
      </c>
      <c r="I10">
        <f t="shared" si="1"/>
      </c>
      <c r="J10" s="13" t="s">
        <v>43</v>
      </c>
      <c r="K10">
        <v>9</v>
      </c>
      <c r="L10">
        <f>COUNTIF(E:E,9)</f>
        <v>0</v>
      </c>
    </row>
    <row r="11" spans="1:12" ht="12.75">
      <c r="A11">
        <v>110</v>
      </c>
      <c r="B11" t="str">
        <f>IF(Plussring!E13="","",Plussring!E13)</f>
        <v>Hannes Lepik</v>
      </c>
      <c r="C11" t="str">
        <f>IF(Plussring!E17="","",Plussring!E17)</f>
        <v>Almar Rahuoja</v>
      </c>
      <c r="D11">
        <v>2</v>
      </c>
      <c r="E11">
        <f t="shared" si="0"/>
      </c>
      <c r="F11" t="s">
        <v>82</v>
      </c>
      <c r="G11" s="15" t="s">
        <v>31</v>
      </c>
      <c r="I11">
        <f t="shared" si="1"/>
      </c>
      <c r="J11" s="13" t="s">
        <v>44</v>
      </c>
      <c r="K11">
        <v>10</v>
      </c>
      <c r="L11">
        <f>COUNTIF(E:E,10)</f>
        <v>0</v>
      </c>
    </row>
    <row r="12" spans="1:9" ht="12.75">
      <c r="A12">
        <v>111</v>
      </c>
      <c r="B12" t="str">
        <f>IF(Plussring!E21="","",Plussring!E21)</f>
        <v>Raigo Rommot</v>
      </c>
      <c r="C12" t="str">
        <f>IF(Plussring!E25="","",Plussring!E25)</f>
        <v>Tõnu Hansar</v>
      </c>
      <c r="D12">
        <v>3</v>
      </c>
      <c r="E12">
        <f t="shared" si="0"/>
      </c>
      <c r="F12" t="s">
        <v>79</v>
      </c>
      <c r="G12" s="15" t="s">
        <v>30</v>
      </c>
      <c r="I12">
        <f t="shared" si="1"/>
      </c>
    </row>
    <row r="13" spans="1:9" ht="12.75">
      <c r="A13">
        <v>112</v>
      </c>
      <c r="B13" t="str">
        <f>IF(Plussring!E29="","",Plussring!E29)</f>
        <v>Toomas Hansar</v>
      </c>
      <c r="C13" t="str">
        <f>IF(Plussring!E33="","",Plussring!E33)</f>
        <v>Kalju Kalda</v>
      </c>
      <c r="D13">
        <v>5</v>
      </c>
      <c r="F13" t="s">
        <v>76</v>
      </c>
      <c r="G13" s="15" t="s">
        <v>30</v>
      </c>
      <c r="I13">
        <f t="shared" si="1"/>
      </c>
    </row>
    <row r="14" spans="1:9" ht="12.75">
      <c r="A14">
        <v>113</v>
      </c>
      <c r="B14" t="str">
        <f>IF('Kohad_3-16'!B4="","",'Kohad_3-16'!B4)</f>
        <v>Virgo Runno</v>
      </c>
      <c r="C14" t="str">
        <f>IF('Kohad_3-16'!B6="","",'Kohad_3-16'!B6)</f>
        <v>Kristo Kerno</v>
      </c>
      <c r="D14">
        <v>1</v>
      </c>
      <c r="F14" t="s">
        <v>107</v>
      </c>
      <c r="G14" s="15" t="s">
        <v>31</v>
      </c>
      <c r="I14">
        <f t="shared" si="1"/>
      </c>
    </row>
    <row r="15" spans="1:9" ht="12.75">
      <c r="A15">
        <v>114</v>
      </c>
      <c r="B15" t="str">
        <f>IF('Kohad_3-16'!B8="","",'Kohad_3-16'!B8)</f>
        <v>Heiki Hansar</v>
      </c>
      <c r="C15" t="str">
        <f>IF('Kohad_3-16'!B10="","",'Kohad_3-16'!B10)</f>
        <v>Bye Bye</v>
      </c>
      <c r="F15" t="s">
        <v>95</v>
      </c>
      <c r="G15" s="15" t="s">
        <v>33</v>
      </c>
      <c r="I15">
        <f t="shared" si="1"/>
      </c>
    </row>
    <row r="16" spans="1:9" ht="12.75">
      <c r="A16">
        <v>115</v>
      </c>
      <c r="B16" t="str">
        <f>IF('Kohad_3-16'!B12="","",'Kohad_3-16'!B12)</f>
        <v>Taivo Koitla</v>
      </c>
      <c r="C16" t="str">
        <f>IF('Kohad_3-16'!B14="","",'Kohad_3-16'!B14)</f>
        <v>Raivo Roots</v>
      </c>
      <c r="D16">
        <v>3</v>
      </c>
      <c r="F16" t="s">
        <v>98</v>
      </c>
      <c r="G16" s="15" t="s">
        <v>30</v>
      </c>
      <c r="I16">
        <f t="shared" si="1"/>
      </c>
    </row>
    <row r="17" spans="1:9" ht="12.75">
      <c r="A17">
        <v>116</v>
      </c>
      <c r="B17" t="str">
        <f>IF('Kohad_3-16'!B16="","",'Kohad_3-16'!B16)</f>
        <v>Aivar Soo</v>
      </c>
      <c r="C17" t="str">
        <f>IF('Kohad_3-16'!B18="","",'Kohad_3-16'!B18)</f>
        <v>Siim Esko</v>
      </c>
      <c r="D17">
        <v>3</v>
      </c>
      <c r="F17" t="s">
        <v>101</v>
      </c>
      <c r="G17" s="15" t="s">
        <v>31</v>
      </c>
      <c r="I17">
        <f t="shared" si="1"/>
      </c>
    </row>
    <row r="18" spans="1:9" ht="12.75">
      <c r="A18">
        <v>117</v>
      </c>
      <c r="B18" t="str">
        <f>IF(Plussring!H7="","",Plussring!H7)</f>
        <v>Imre Korsen</v>
      </c>
      <c r="C18" t="str">
        <f>IF(Plussring!H15="","",Plussring!H15)</f>
        <v>Almar Rahuoja</v>
      </c>
      <c r="D18">
        <v>3</v>
      </c>
      <c r="F18" t="s">
        <v>73</v>
      </c>
      <c r="G18" s="15" t="s">
        <v>31</v>
      </c>
      <c r="H18" t="s">
        <v>35</v>
      </c>
      <c r="I18">
        <f t="shared" si="1"/>
      </c>
    </row>
    <row r="19" spans="1:9" ht="12.75">
      <c r="A19">
        <v>118</v>
      </c>
      <c r="B19" t="str">
        <f>IF(Plussring!H23="","",Plussring!H23)</f>
        <v>Raigo Rommot</v>
      </c>
      <c r="C19" t="str">
        <f>IF(Plussring!H31="","",Plussring!H31)</f>
        <v>Kalju Kalda</v>
      </c>
      <c r="D19">
        <v>2</v>
      </c>
      <c r="F19" t="s">
        <v>76</v>
      </c>
      <c r="G19" s="15" t="s">
        <v>30</v>
      </c>
      <c r="H19" t="s">
        <v>36</v>
      </c>
      <c r="I19">
        <f t="shared" si="1"/>
      </c>
    </row>
    <row r="20" spans="1:9" ht="12.75">
      <c r="A20">
        <v>119</v>
      </c>
      <c r="B20" t="str">
        <f>IF('Kohad_3-16'!E5="","",'Kohad_3-16'!E5)</f>
        <v>Virgo Runno</v>
      </c>
      <c r="C20" t="str">
        <f>IF('Kohad_3-16'!E7="","",'Kohad_3-16'!E7)</f>
        <v>Toomas Hansar</v>
      </c>
      <c r="D20">
        <v>1</v>
      </c>
      <c r="F20" t="s">
        <v>90</v>
      </c>
      <c r="G20" s="15" t="s">
        <v>31</v>
      </c>
      <c r="I20">
        <f t="shared" si="1"/>
      </c>
    </row>
    <row r="21" spans="1:9" ht="12.75">
      <c r="A21">
        <v>120</v>
      </c>
      <c r="B21" t="str">
        <f>IF('Kohad_3-16'!E9="","",'Kohad_3-16'!E9)</f>
        <v>Heiki Hansar</v>
      </c>
      <c r="C21" t="str">
        <f>IF('Kohad_3-16'!E11="","",'Kohad_3-16'!E11)</f>
        <v>Tõnu Hansar</v>
      </c>
      <c r="D21">
        <v>1</v>
      </c>
      <c r="F21" t="s">
        <v>88</v>
      </c>
      <c r="G21" s="15" t="s">
        <v>31</v>
      </c>
      <c r="I21">
        <f t="shared" si="1"/>
      </c>
    </row>
    <row r="22" spans="1:9" ht="12.75">
      <c r="A22">
        <v>121</v>
      </c>
      <c r="B22" t="str">
        <f>IF('Kohad_3-16'!E13="","",'Kohad_3-16'!E13)</f>
        <v>Raivo Roots</v>
      </c>
      <c r="C22" t="str">
        <f>IF('Kohad_3-16'!E15="","",'Kohad_3-16'!E15)</f>
        <v>Hannes Lepik</v>
      </c>
      <c r="D22">
        <v>5</v>
      </c>
      <c r="F22" t="s">
        <v>85</v>
      </c>
      <c r="G22" s="15" t="s">
        <v>30</v>
      </c>
      <c r="I22">
        <f t="shared" si="1"/>
      </c>
    </row>
    <row r="23" spans="1:9" ht="12.75">
      <c r="A23">
        <v>122</v>
      </c>
      <c r="B23" t="str">
        <f>IF('Kohad_3-16'!E17="","",'Kohad_3-16'!E17)</f>
        <v>Aivar Soo</v>
      </c>
      <c r="C23" t="str">
        <f>IF('Kohad_3-16'!E19="","",'Kohad_3-16'!E19)</f>
        <v>Andrus Plamus</v>
      </c>
      <c r="D23">
        <v>2</v>
      </c>
      <c r="F23" t="s">
        <v>93</v>
      </c>
      <c r="G23" s="15" t="s">
        <v>30</v>
      </c>
      <c r="I23">
        <f t="shared" si="1"/>
      </c>
    </row>
    <row r="24" spans="1:9" ht="12.75">
      <c r="A24">
        <v>123</v>
      </c>
      <c r="B24" t="str">
        <f>IF('Kohad_3-16'!B29="","",'Kohad_3-16'!B29)</f>
        <v>Kristo Kerno</v>
      </c>
      <c r="C24" t="str">
        <f>IF('Kohad_3-16'!B31="","",'Kohad_3-16'!B31)</f>
        <v>Bye Bye</v>
      </c>
      <c r="F24" t="s">
        <v>104</v>
      </c>
      <c r="G24" s="15" t="s">
        <v>33</v>
      </c>
      <c r="I24">
        <f t="shared" si="1"/>
      </c>
    </row>
    <row r="25" spans="1:9" ht="12.75">
      <c r="A25">
        <v>124</v>
      </c>
      <c r="B25" t="str">
        <f>IF('Kohad_3-16'!B33="","",'Kohad_3-16'!B33)</f>
        <v>Taivo Koitla</v>
      </c>
      <c r="C25" t="str">
        <f>IF('Kohad_3-16'!B35="","",'Kohad_3-16'!B35)</f>
        <v>Siim Esko</v>
      </c>
      <c r="D25">
        <v>2</v>
      </c>
      <c r="F25" t="s">
        <v>110</v>
      </c>
      <c r="G25" s="15" t="s">
        <v>32</v>
      </c>
      <c r="I25">
        <f t="shared" si="1"/>
      </c>
    </row>
    <row r="26" spans="1:9" ht="12.75">
      <c r="A26">
        <v>125</v>
      </c>
      <c r="B26" t="str">
        <f>IF('Kohad_3-16'!H6="","",'Kohad_3-16'!H6)</f>
        <v>Toomas Hansar</v>
      </c>
      <c r="C26" t="str">
        <f>IF('Kohad_3-16'!H10="","",'Kohad_3-16'!H10)</f>
        <v>Tõnu Hansar</v>
      </c>
      <c r="D26">
        <v>1</v>
      </c>
      <c r="F26" t="s">
        <v>88</v>
      </c>
      <c r="G26" s="15" t="s">
        <v>32</v>
      </c>
      <c r="I26">
        <f t="shared" si="1"/>
      </c>
    </row>
    <row r="27" spans="1:9" ht="12.75">
      <c r="A27">
        <v>126</v>
      </c>
      <c r="B27" t="str">
        <f>IF('Kohad_3-16'!H14="","",'Kohad_3-16'!H14)</f>
        <v>Hannes Lepik</v>
      </c>
      <c r="C27" t="str">
        <f>IF('Kohad_3-16'!H18="","",'Kohad_3-16'!H18)</f>
        <v>Andrus Plamus</v>
      </c>
      <c r="D27">
        <v>6</v>
      </c>
      <c r="F27" t="s">
        <v>85</v>
      </c>
      <c r="G27" s="15" t="s">
        <v>31</v>
      </c>
      <c r="I27">
        <f t="shared" si="1"/>
      </c>
    </row>
    <row r="28" spans="1:9" ht="12.75">
      <c r="A28">
        <v>127</v>
      </c>
      <c r="B28" t="str">
        <f>IF('Kohad_3-16'!B21="","",'Kohad_3-16'!B21)</f>
        <v>Virgo Runno</v>
      </c>
      <c r="C28" t="str">
        <f>IF('Kohad_3-16'!B23="","",'Kohad_3-16'!B23)</f>
        <v>Heiki Hansar</v>
      </c>
      <c r="D28">
        <v>5</v>
      </c>
      <c r="F28" t="s">
        <v>107</v>
      </c>
      <c r="G28" s="15" t="s">
        <v>30</v>
      </c>
      <c r="I28">
        <f t="shared" si="1"/>
      </c>
    </row>
    <row r="29" spans="1:9" ht="12.75">
      <c r="A29">
        <v>128</v>
      </c>
      <c r="B29" t="str">
        <f>IF('Kohad_3-16'!B25="","",'Kohad_3-16'!B25)</f>
        <v>Raivo Roots</v>
      </c>
      <c r="C29" t="str">
        <f>IF('Kohad_3-16'!B27="","",'Kohad_3-16'!B27)</f>
        <v>Aivar Soo</v>
      </c>
      <c r="D29">
        <v>3</v>
      </c>
      <c r="F29" t="s">
        <v>98</v>
      </c>
      <c r="G29" s="15" t="s">
        <v>31</v>
      </c>
      <c r="I29">
        <f t="shared" si="1"/>
      </c>
    </row>
    <row r="30" spans="1:9" ht="12.75">
      <c r="A30">
        <v>129</v>
      </c>
      <c r="B30" t="str">
        <f>IF('Kohad_3-16'!K4="","",'Kohad_3-16'!K4)</f>
        <v>Almar Rahuoja</v>
      </c>
      <c r="C30" t="str">
        <f>IF('Kohad_3-16'!K8="","",'Kohad_3-16'!K8)</f>
        <v>Tõnu Hansar</v>
      </c>
      <c r="D30">
        <v>1</v>
      </c>
      <c r="F30" t="s">
        <v>82</v>
      </c>
      <c r="G30" s="15" t="s">
        <v>31</v>
      </c>
      <c r="I30">
        <f t="shared" si="1"/>
      </c>
    </row>
    <row r="31" spans="1:9" ht="12.75">
      <c r="A31">
        <v>130</v>
      </c>
      <c r="B31" t="str">
        <f>IF('Kohad_3-16'!K12="","",'Kohad_3-16'!K12)</f>
        <v>Raigo Rommot</v>
      </c>
      <c r="C31" t="str">
        <f>IF('Kohad_3-16'!K16="","",'Kohad_3-16'!K16)</f>
        <v>Hannes Lepik</v>
      </c>
      <c r="D31">
        <v>2</v>
      </c>
      <c r="F31" t="s">
        <v>85</v>
      </c>
      <c r="G31" s="15" t="s">
        <v>32</v>
      </c>
      <c r="I31">
        <f t="shared" si="1"/>
      </c>
    </row>
    <row r="32" spans="1:9" ht="12.75">
      <c r="A32">
        <v>131</v>
      </c>
      <c r="B32" t="str">
        <f>IF(Plussring!K11="","",Plussring!K11)</f>
        <v>Imre Korsen</v>
      </c>
      <c r="C32" t="str">
        <f>IF(Plussring!K27="","",Plussring!K27)</f>
        <v>Kalju Kalda</v>
      </c>
      <c r="D32">
        <v>2</v>
      </c>
      <c r="F32" t="s">
        <v>73</v>
      </c>
      <c r="G32" s="15" t="s">
        <v>31</v>
      </c>
      <c r="H32" t="s">
        <v>34</v>
      </c>
      <c r="I32">
        <f t="shared" si="1"/>
      </c>
    </row>
    <row r="33" spans="1:9" ht="12.75">
      <c r="A33">
        <v>132</v>
      </c>
      <c r="B33" t="str">
        <f>IF('Kohad_3-16'!N33="","",'Kohad_3-16'!N33)</f>
        <v>Bye Bye</v>
      </c>
      <c r="C33" t="str">
        <f>IF('Kohad_3-16'!N35="","",'Kohad_3-16'!N35)</f>
        <v>Taivo Koitla</v>
      </c>
      <c r="F33" t="s">
        <v>113</v>
      </c>
      <c r="G33" s="15" t="s">
        <v>33</v>
      </c>
      <c r="I33">
        <f t="shared" si="1"/>
      </c>
    </row>
    <row r="34" spans="1:9" ht="12.75">
      <c r="A34">
        <v>133</v>
      </c>
      <c r="B34" t="str">
        <f>IF('Kohad_3-16'!E30="","",'Kohad_3-16'!E30)</f>
        <v>Kristo Kerno</v>
      </c>
      <c r="C34" t="str">
        <f>IF('Kohad_3-16'!E34="","",'Kohad_3-16'!E34)</f>
        <v>Siim Esko</v>
      </c>
      <c r="D34">
        <v>6</v>
      </c>
      <c r="F34" t="s">
        <v>104</v>
      </c>
      <c r="G34" s="15" t="s">
        <v>30</v>
      </c>
      <c r="I34">
        <f t="shared" si="1"/>
      </c>
    </row>
    <row r="35" spans="1:9" ht="12.75">
      <c r="A35">
        <v>134</v>
      </c>
      <c r="B35" t="str">
        <f>IF('Kohad_3-16'!N28="","",'Kohad_3-16'!N28)</f>
        <v>Heiki Hansar</v>
      </c>
      <c r="C35" t="str">
        <f>IF('Kohad_3-16'!N30="","",'Kohad_3-16'!N30)</f>
        <v>Aivar Soo</v>
      </c>
      <c r="D35">
        <v>3</v>
      </c>
      <c r="F35" t="s">
        <v>95</v>
      </c>
      <c r="G35" s="15" t="s">
        <v>32</v>
      </c>
      <c r="I35">
        <f t="shared" si="1"/>
      </c>
    </row>
    <row r="36" spans="1:9" ht="12.75">
      <c r="A36">
        <v>135</v>
      </c>
      <c r="B36" t="str">
        <f>IF('Kohad_3-16'!E22="","",'Kohad_3-16'!E22)</f>
        <v>Virgo Runno</v>
      </c>
      <c r="C36" t="str">
        <f>IF('Kohad_3-16'!E26="","",'Kohad_3-16'!E26)</f>
        <v>Raivo Roots</v>
      </c>
      <c r="D36">
        <v>4</v>
      </c>
      <c r="F36" t="s">
        <v>107</v>
      </c>
      <c r="G36" s="15" t="s">
        <v>31</v>
      </c>
      <c r="I36">
        <f t="shared" si="1"/>
      </c>
    </row>
    <row r="37" spans="1:9" ht="12.75">
      <c r="A37">
        <v>136</v>
      </c>
      <c r="B37" t="str">
        <f>IF('Kohad_3-16'!N23="","",'Kohad_3-16'!N23)</f>
        <v>Toomas Hansar</v>
      </c>
      <c r="C37" t="str">
        <f>IF('Kohad_3-16'!N25="","",'Kohad_3-16'!N25)</f>
        <v>Andrus Plamus</v>
      </c>
      <c r="D37">
        <v>6</v>
      </c>
      <c r="F37" t="s">
        <v>90</v>
      </c>
      <c r="G37" s="15" t="s">
        <v>31</v>
      </c>
      <c r="I37">
        <f t="shared" si="1"/>
      </c>
    </row>
    <row r="38" spans="1:9" ht="12.75">
      <c r="A38">
        <v>137</v>
      </c>
      <c r="B38" t="str">
        <f>IF('Kohad_3-16'!N18="","",'Kohad_3-16'!N18)</f>
        <v>Tõnu Hansar</v>
      </c>
      <c r="C38" t="str">
        <f>IF('Kohad_3-16'!N20="","",'Kohad_3-16'!N20)</f>
        <v>Raigo Rommot</v>
      </c>
      <c r="D38">
        <v>3</v>
      </c>
      <c r="F38" t="s">
        <v>79</v>
      </c>
      <c r="G38" s="15" t="s">
        <v>30</v>
      </c>
      <c r="I38">
        <f t="shared" si="1"/>
      </c>
    </row>
    <row r="39" spans="1:9" ht="12.75">
      <c r="A39">
        <v>138</v>
      </c>
      <c r="B39" t="str">
        <f>IF('Kohad_3-16'!N6="","",'Kohad_3-16'!N6)</f>
        <v>Almar Rahuoja</v>
      </c>
      <c r="C39" t="str">
        <f>IF('Kohad_3-16'!N14="","",'Kohad_3-16'!N14)</f>
        <v>Hannes Lepik</v>
      </c>
      <c r="D39">
        <v>1</v>
      </c>
      <c r="F39" t="s">
        <v>82</v>
      </c>
      <c r="G39" s="15" t="s">
        <v>30</v>
      </c>
      <c r="I39">
        <f t="shared" si="1"/>
      </c>
    </row>
  </sheetData>
  <sheetProtection/>
  <conditionalFormatting sqref="D2:D39">
    <cfRule type="expression" priority="1" dxfId="0" stopIfTrue="1">
      <formula>F2&lt;&gt;""</formula>
    </cfRule>
  </conditionalFormatting>
  <dataValidations count="4">
    <dataValidation type="list" allowBlank="1" showInputMessage="1" showErrorMessage="1" sqref="F2:F39">
      <formula1>B2:C2</formula1>
    </dataValidation>
    <dataValidation type="list" allowBlank="1" showInputMessage="1" showErrorMessage="1" sqref="E13:E39">
      <formula1>$K$2:$K$11</formula1>
    </dataValidation>
    <dataValidation type="list" allowBlank="1" showInputMessage="1" showErrorMessage="1" sqref="G2:G39">
      <formula1>$J$2:$J$11</formula1>
    </dataValidation>
    <dataValidation type="list" allowBlank="1" showInputMessage="1" showErrorMessage="1" sqref="D2:D39">
      <formula1>$N$1:$AC$1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21.140625" style="0" customWidth="1"/>
  </cols>
  <sheetData>
    <row r="1" spans="1:2" ht="17.25">
      <c r="A1" s="21" t="s">
        <v>37</v>
      </c>
      <c r="B1" s="21" t="s">
        <v>4</v>
      </c>
    </row>
    <row r="2" spans="1:2" ht="15">
      <c r="A2" s="22">
        <v>1</v>
      </c>
      <c r="B2" s="22" t="str">
        <f>IF(Plussring!N19="","",Plussring!N19)</f>
        <v>Imre Korsen</v>
      </c>
    </row>
    <row r="3" spans="1:2" ht="15">
      <c r="A3" s="22">
        <v>2</v>
      </c>
      <c r="B3" s="22" t="str">
        <f>IF(Plussring!N33="","",Plussring!N33)</f>
        <v>Kalju Kalda</v>
      </c>
    </row>
    <row r="4" spans="1:2" ht="15">
      <c r="A4" s="22">
        <v>3</v>
      </c>
      <c r="B4" s="22" t="str">
        <f>IF('Kohad_3-16'!Q10="","",'Kohad_3-16'!Q10)</f>
        <v>Almar Rahuoja</v>
      </c>
    </row>
    <row r="5" spans="1:2" ht="15">
      <c r="A5" s="22">
        <v>4</v>
      </c>
      <c r="B5" s="22" t="str">
        <f>IF('Kohad_3-16'!Q16="","",'Kohad_3-16'!Q16)</f>
        <v>Hannes Lepik</v>
      </c>
    </row>
    <row r="6" spans="1:2" ht="15">
      <c r="A6" s="22">
        <v>5</v>
      </c>
      <c r="B6" s="22" t="str">
        <f>IF('Kohad_3-16'!Q19="","",'Kohad_3-16'!Q19)</f>
        <v>Raigo Rommot</v>
      </c>
    </row>
    <row r="7" spans="1:2" ht="15">
      <c r="A7" s="22">
        <v>6</v>
      </c>
      <c r="B7" s="22" t="str">
        <f>IF('Kohad_3-16'!Q21="","",'Kohad_3-16'!Q21)</f>
        <v>Tõnu Hansar</v>
      </c>
    </row>
    <row r="8" spans="1:2" ht="15">
      <c r="A8" s="22">
        <v>7</v>
      </c>
      <c r="B8" s="22" t="str">
        <f>IF('Kohad_3-16'!Q24="","",'Kohad_3-16'!Q24)</f>
        <v>Toomas Hansar</v>
      </c>
    </row>
    <row r="9" spans="1:2" ht="15">
      <c r="A9" s="22">
        <v>8</v>
      </c>
      <c r="B9" s="22" t="str">
        <f>IF('Kohad_3-16'!Q26="","",'Kohad_3-16'!Q26)</f>
        <v>Andrus Plamus</v>
      </c>
    </row>
    <row r="10" spans="1:2" ht="15">
      <c r="A10" s="22">
        <v>9</v>
      </c>
      <c r="B10" s="22" t="str">
        <f>IF('Kohad_3-16'!H24="","",'Kohad_3-16'!H24)</f>
        <v>Virgo Runno</v>
      </c>
    </row>
    <row r="11" spans="1:2" ht="15">
      <c r="A11" s="22">
        <v>10</v>
      </c>
      <c r="B11" s="22" t="str">
        <f>IF('Kohad_3-16'!H28="","",'Kohad_3-16'!H28)</f>
        <v>Raivo Roots</v>
      </c>
    </row>
    <row r="12" spans="1:2" ht="15">
      <c r="A12" s="22">
        <v>11</v>
      </c>
      <c r="B12" s="22" t="str">
        <f>IF('Kohad_3-16'!Q29="","",'Kohad_3-16'!Q29)</f>
        <v>Heiki Hansar</v>
      </c>
    </row>
    <row r="13" spans="1:2" ht="15">
      <c r="A13" s="22">
        <v>12</v>
      </c>
      <c r="B13" s="22" t="str">
        <f>IF('Kohad_3-16'!Q31="","",'Kohad_3-16'!Q31)</f>
        <v>Aivar Soo</v>
      </c>
    </row>
    <row r="14" spans="1:2" ht="15">
      <c r="A14" s="22">
        <v>13</v>
      </c>
      <c r="B14" s="22" t="str">
        <f>IF('Kohad_3-16'!H32="","",'Kohad_3-16'!H32)</f>
        <v>Kristo Kerno</v>
      </c>
    </row>
    <row r="15" spans="1:2" ht="15">
      <c r="A15" s="22">
        <v>14</v>
      </c>
      <c r="B15" s="22" t="str">
        <f>IF('Kohad_3-16'!H36="","",'Kohad_3-16'!H36)</f>
        <v>Siim Esko</v>
      </c>
    </row>
    <row r="16" spans="1:2" ht="15">
      <c r="A16" s="22">
        <v>15</v>
      </c>
      <c r="B16" s="22" t="str">
        <f>IF('Kohad_3-16'!Q34="","",'Kohad_3-16'!Q34)</f>
        <v>Taivo Koitla</v>
      </c>
    </row>
    <row r="17" spans="1:2" ht="15">
      <c r="A17" s="22">
        <v>16</v>
      </c>
      <c r="B17" s="22" t="str">
        <f>IF('Kohad_3-16'!Q36="","",'Kohad_3-16'!Q36)</f>
        <v>Bye Bye</v>
      </c>
    </row>
  </sheetData>
  <sheetProtection/>
  <printOptions/>
  <pageMargins left="0.75" right="0.75" top="1" bottom="1" header="0.5" footer="0.5"/>
  <pageSetup orientation="portrait" paperSize="9"/>
  <ignoredErrors>
    <ignoredError sqref="B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13">
      <selection activeCell="L42" sqref="L42"/>
    </sheetView>
  </sheetViews>
  <sheetFormatPr defaultColWidth="9.140625" defaultRowHeight="12.75"/>
  <cols>
    <col min="1" max="1" width="17.00390625" style="0" bestFit="1" customWidth="1"/>
    <col min="2" max="2" width="12.57421875" style="0" bestFit="1" customWidth="1"/>
    <col min="3" max="3" width="13.140625" style="0" bestFit="1" customWidth="1"/>
    <col min="4" max="4" width="16.28125" style="0" bestFit="1" customWidth="1"/>
    <col min="5" max="5" width="15.57421875" style="0" bestFit="1" customWidth="1"/>
    <col min="6" max="6" width="18.8515625" style="0" bestFit="1" customWidth="1"/>
    <col min="7" max="7" width="9.140625" style="38" customWidth="1"/>
    <col min="8" max="8" width="11.28125" style="0" bestFit="1" customWidth="1"/>
  </cols>
  <sheetData>
    <row r="1" spans="1:8" s="28" customFormat="1" ht="15">
      <c r="A1" s="26" t="s">
        <v>45</v>
      </c>
      <c r="B1" s="26" t="s">
        <v>46</v>
      </c>
      <c r="C1" s="39" t="s">
        <v>47</v>
      </c>
      <c r="D1" s="40" t="s">
        <v>48</v>
      </c>
      <c r="E1" s="26" t="s">
        <v>49</v>
      </c>
      <c r="F1" s="27" t="s">
        <v>50</v>
      </c>
      <c r="G1" s="35" t="s">
        <v>51</v>
      </c>
      <c r="H1" s="27" t="s">
        <v>52</v>
      </c>
    </row>
    <row r="2" spans="1:8" s="28" customFormat="1" ht="15">
      <c r="A2" s="29" t="s">
        <v>53</v>
      </c>
      <c r="B2" s="30"/>
      <c r="C2" s="41"/>
      <c r="D2" s="42"/>
      <c r="F2" s="32"/>
      <c r="G2" s="36"/>
      <c r="H2" s="32"/>
    </row>
    <row r="3" spans="1:8" s="28" customFormat="1" ht="15">
      <c r="A3" s="33" t="s">
        <v>54</v>
      </c>
      <c r="B3" s="34"/>
      <c r="C3" s="41"/>
      <c r="D3" s="42"/>
      <c r="F3" s="32"/>
      <c r="G3" s="36"/>
      <c r="H3" s="32"/>
    </row>
    <row r="4" spans="1:8" s="28" customFormat="1" ht="15">
      <c r="A4" s="33" t="s">
        <v>55</v>
      </c>
      <c r="B4" s="30"/>
      <c r="C4" s="30"/>
      <c r="D4" s="31"/>
      <c r="F4" s="32"/>
      <c r="G4" s="36"/>
      <c r="H4" s="32"/>
    </row>
    <row r="5" spans="1:8" s="28" customFormat="1" ht="15">
      <c r="A5" s="33" t="s">
        <v>56</v>
      </c>
      <c r="B5" s="30"/>
      <c r="C5" s="30"/>
      <c r="D5" s="31"/>
      <c r="F5" s="32"/>
      <c r="G5" s="36"/>
      <c r="H5" s="32"/>
    </row>
    <row r="6" spans="1:8" s="28" customFormat="1" ht="15">
      <c r="A6" s="33" t="s">
        <v>57</v>
      </c>
      <c r="B6" s="30"/>
      <c r="C6" s="30"/>
      <c r="D6" s="31"/>
      <c r="F6" s="32"/>
      <c r="G6" s="36"/>
      <c r="H6" s="32"/>
    </row>
    <row r="7" spans="1:256" s="28" customFormat="1" ht="15">
      <c r="A7" s="26" t="s">
        <v>58</v>
      </c>
      <c r="B7" s="26" t="s">
        <v>59</v>
      </c>
      <c r="C7" s="26" t="s">
        <v>60</v>
      </c>
      <c r="D7" s="27" t="s">
        <v>61</v>
      </c>
      <c r="E7" s="30"/>
      <c r="F7" s="31"/>
      <c r="G7" s="37"/>
      <c r="H7" s="3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3" ht="12.75">
      <c r="A8">
        <v>1</v>
      </c>
      <c r="B8" t="str">
        <f>IF(Paigutus!C4="","",Paigutus!C4)</f>
        <v>Korsen</v>
      </c>
      <c r="C8" t="str">
        <f>IF(Paigutus!B4="","",Paigutus!B4)</f>
        <v>Imre</v>
      </c>
    </row>
    <row r="9" spans="1:3" ht="12.75">
      <c r="A9">
        <v>2</v>
      </c>
      <c r="B9" t="str">
        <f>IF(Paigutus!C5="","",Paigutus!C5)</f>
        <v>Kalda</v>
      </c>
      <c r="C9" t="str">
        <f>IF(Paigutus!B5="","",Paigutus!B5)</f>
        <v>Kalju</v>
      </c>
    </row>
    <row r="10" spans="1:3" ht="12.75">
      <c r="A10">
        <v>3</v>
      </c>
      <c r="B10" t="str">
        <f>IF(Paigutus!C6="","",Paigutus!C6)</f>
        <v>Rommot</v>
      </c>
      <c r="C10" t="str">
        <f>IF(Paigutus!B6="","",Paigutus!B6)</f>
        <v>Raigo</v>
      </c>
    </row>
    <row r="11" spans="1:3" ht="12.75">
      <c r="A11">
        <v>4</v>
      </c>
      <c r="B11" t="str">
        <f>IF(Paigutus!C7="","",Paigutus!C7)</f>
        <v>Rahuoja</v>
      </c>
      <c r="C11" t="str">
        <f>IF(Paigutus!B7="","",Paigutus!B7)</f>
        <v>Almar</v>
      </c>
    </row>
    <row r="12" spans="1:3" ht="12.75">
      <c r="A12">
        <v>5</v>
      </c>
      <c r="B12" t="str">
        <f>IF(Paigutus!C8="","",Paigutus!C8)</f>
        <v>Lepik</v>
      </c>
      <c r="C12" t="str">
        <f>IF(Paigutus!B8="","",Paigutus!B8)</f>
        <v>Hannes</v>
      </c>
    </row>
    <row r="13" spans="1:3" ht="12.75">
      <c r="A13">
        <v>6</v>
      </c>
      <c r="B13" t="str">
        <f>IF(Paigutus!C9="","",Paigutus!C9)</f>
        <v>Hansar</v>
      </c>
      <c r="C13" t="str">
        <f>IF(Paigutus!B9="","",Paigutus!B9)</f>
        <v>Tõnu</v>
      </c>
    </row>
    <row r="14" spans="1:3" ht="12.75">
      <c r="A14">
        <v>7</v>
      </c>
      <c r="B14" t="str">
        <f>IF(Paigutus!C10="","",Paigutus!C10)</f>
        <v>Hansar</v>
      </c>
      <c r="C14" t="str">
        <f>IF(Paigutus!B10="","",Paigutus!B10)</f>
        <v>Toomas</v>
      </c>
    </row>
    <row r="15" spans="1:3" ht="12.75">
      <c r="A15">
        <v>8</v>
      </c>
      <c r="B15" t="str">
        <f>IF(Paigutus!C11="","",Paigutus!C11)</f>
        <v>Plamus</v>
      </c>
      <c r="C15" t="str">
        <f>IF(Paigutus!B11="","",Paigutus!B11)</f>
        <v>Andrus</v>
      </c>
    </row>
    <row r="16" spans="1:3" ht="12.75">
      <c r="A16">
        <v>9</v>
      </c>
      <c r="B16" t="str">
        <f>IF(Paigutus!C12="","",Paigutus!C12)</f>
        <v>Hansar</v>
      </c>
      <c r="C16" t="str">
        <f>IF(Paigutus!B12="","",Paigutus!B12)</f>
        <v>Heiki</v>
      </c>
    </row>
    <row r="17" spans="1:3" ht="12.75">
      <c r="A17">
        <v>10</v>
      </c>
      <c r="B17" t="str">
        <f>IF(Paigutus!C13="","",Paigutus!C13)</f>
        <v>Roots</v>
      </c>
      <c r="C17" t="str">
        <f>IF(Paigutus!B13="","",Paigutus!B13)</f>
        <v>Raivo</v>
      </c>
    </row>
    <row r="18" spans="1:3" ht="12.75">
      <c r="A18">
        <v>11</v>
      </c>
      <c r="B18" t="str">
        <f>IF(Paigutus!C14="","",Paigutus!C14)</f>
        <v>Soo</v>
      </c>
      <c r="C18" t="str">
        <f>IF(Paigutus!B14="","",Paigutus!B14)</f>
        <v>Aivar</v>
      </c>
    </row>
    <row r="19" spans="1:3" ht="12.75">
      <c r="A19">
        <v>12</v>
      </c>
      <c r="B19" t="str">
        <f>IF(Paigutus!C15="","",Paigutus!C15)</f>
        <v>Kerno</v>
      </c>
      <c r="C19" t="str">
        <f>IF(Paigutus!B15="","",Paigutus!B15)</f>
        <v>Kristo</v>
      </c>
    </row>
    <row r="20" spans="1:3" ht="12.75">
      <c r="A20">
        <v>13</v>
      </c>
      <c r="B20" t="str">
        <f>IF(Paigutus!C16="","",Paigutus!C16)</f>
        <v>Runno</v>
      </c>
      <c r="C20" t="str">
        <f>IF(Paigutus!B16="","",Paigutus!B16)</f>
        <v>Virgo</v>
      </c>
    </row>
    <row r="21" spans="1:3" ht="12.75">
      <c r="A21">
        <v>14</v>
      </c>
      <c r="B21" t="str">
        <f>IF(Paigutus!C17="","",Paigutus!C17)</f>
        <v>Esko</v>
      </c>
      <c r="C21" t="str">
        <f>IF(Paigutus!B17="","",Paigutus!B17)</f>
        <v>Siim</v>
      </c>
    </row>
    <row r="22" spans="1:3" ht="12.75">
      <c r="A22">
        <v>15</v>
      </c>
      <c r="B22" t="str">
        <f>IF(Paigutus!C18="","",Paigutus!C18)</f>
        <v>Koitla</v>
      </c>
      <c r="C22" t="str">
        <f>IF(Paigutus!B18="","",Paigutus!B18)</f>
        <v>Taivo</v>
      </c>
    </row>
    <row r="23" spans="1:3" ht="12.75">
      <c r="A23">
        <v>16</v>
      </c>
      <c r="B23" t="str">
        <f>IF(Paigutus!C19="","",Paigutus!C19)</f>
        <v>Bye</v>
      </c>
      <c r="C23" t="str">
        <f>IF(Paigutus!B19="","",Paigutus!B19)</f>
        <v>Bye</v>
      </c>
    </row>
    <row r="24" spans="1:8" s="28" customFormat="1" ht="15">
      <c r="A24" s="26" t="s">
        <v>62</v>
      </c>
      <c r="B24" s="26" t="s">
        <v>63</v>
      </c>
      <c r="C24" s="26" t="s">
        <v>64</v>
      </c>
      <c r="D24" s="27" t="s">
        <v>65</v>
      </c>
      <c r="E24" s="26" t="s">
        <v>66</v>
      </c>
      <c r="F24" s="27" t="s">
        <v>67</v>
      </c>
      <c r="G24" s="40" t="s">
        <v>68</v>
      </c>
      <c r="H24" s="27" t="s">
        <v>69</v>
      </c>
    </row>
    <row r="25" spans="1:7" ht="12.75">
      <c r="A25">
        <v>101</v>
      </c>
      <c r="C25">
        <f>IF(D25="","",VLOOKUP(D25,Paigutus!D:E,2,FALSE))</f>
        <v>441</v>
      </c>
      <c r="D25" t="str">
        <f>IF(Mängud!F2="","",Mängud!F2)</f>
        <v>Imre Korsen</v>
      </c>
      <c r="E25">
        <f>IF(F25="","",VLOOKUP(F25,Paigutus!D:E,2,FALSE))</f>
        <v>0</v>
      </c>
      <c r="F25" t="str">
        <f>IF(D25="","",IF(D25=Mängud!B2,Mängud!C2,Mängud!B2))</f>
        <v>Bye Bye</v>
      </c>
      <c r="G25" s="38" t="str">
        <f>IF(Mängud!G2="","",Mängud!G2)</f>
        <v>w:0</v>
      </c>
    </row>
    <row r="26" spans="1:7" ht="12.75">
      <c r="A26">
        <v>102</v>
      </c>
      <c r="C26">
        <f>IF(D26="","",VLOOKUP(D26,Paigutus!D:E,2,FALSE))</f>
        <v>7667</v>
      </c>
      <c r="D26" t="str">
        <f>IF(Mängud!F3="","",Mängud!F3)</f>
        <v>Andrus Plamus</v>
      </c>
      <c r="E26">
        <f>IF(F26="","",VLOOKUP(F26,Paigutus!D:E,2,FALSE))</f>
        <v>299</v>
      </c>
      <c r="F26" t="str">
        <f>IF(D26="","",IF(D26=Mängud!B3,Mängud!C3,Mängud!B3))</f>
        <v>Heiki Hansar</v>
      </c>
      <c r="G26" s="38" t="str">
        <f>IF(Mängud!G3="","",Mängud!G3)</f>
        <v>3:2</v>
      </c>
    </row>
    <row r="27" spans="1:7" ht="12.75">
      <c r="A27">
        <v>103</v>
      </c>
      <c r="C27">
        <f>IF(D27="","",VLOOKUP(D27,Paigutus!D:E,2,FALSE))</f>
        <v>9400</v>
      </c>
      <c r="D27" t="str">
        <f>IF(Mängud!F4="","",Mängud!F4)</f>
        <v>Hannes Lepik</v>
      </c>
      <c r="E27">
        <f>IF(F27="","",VLOOKUP(F27,Paigutus!D:E,2,FALSE))</f>
        <v>9455</v>
      </c>
      <c r="F27" t="str">
        <f>IF(D27="","",IF(D27=Mängud!B4,Mängud!C4,Mängud!B4))</f>
        <v>Kristo Kerno</v>
      </c>
      <c r="G27" s="38" t="str">
        <f>IF(Mängud!G4="","",Mängud!G4)</f>
        <v>3:0</v>
      </c>
    </row>
    <row r="28" spans="1:7" ht="12.75">
      <c r="A28">
        <v>104</v>
      </c>
      <c r="C28">
        <f>IF(D28="","",VLOOKUP(D28,Paigutus!D:E,2,FALSE))</f>
        <v>493</v>
      </c>
      <c r="D28" t="str">
        <f>IF(Mängud!F5="","",Mängud!F5)</f>
        <v>Almar Rahuoja</v>
      </c>
      <c r="E28">
        <f>IF(F28="","",VLOOKUP(F28,Paigutus!D:E,2,FALSE))</f>
        <v>8332</v>
      </c>
      <c r="F28" t="str">
        <f>IF(D28="","",IF(D28=Mängud!B5,Mängud!C5,Mängud!B5))</f>
        <v>Virgo Runno</v>
      </c>
      <c r="G28" s="38" t="str">
        <f>IF(Mängud!G5="","",Mängud!G5)</f>
        <v>3:0</v>
      </c>
    </row>
    <row r="29" spans="1:7" ht="12.75">
      <c r="A29">
        <v>105</v>
      </c>
      <c r="C29">
        <f>IF(D29="","",VLOOKUP(D29,Paigutus!D:E,2,FALSE))</f>
        <v>7194</v>
      </c>
      <c r="D29" t="str">
        <f>IF(Mängud!F6="","",Mängud!F6)</f>
        <v>Raigo Rommot</v>
      </c>
      <c r="E29">
        <f>IF(F29="","",VLOOKUP(F29,Paigutus!D:E,2,FALSE))</f>
        <v>0</v>
      </c>
      <c r="F29" t="str">
        <f>IF(D29="","",IF(D29=Mängud!B6,Mängud!C6,Mängud!B6))</f>
        <v>Siim Esko</v>
      </c>
      <c r="G29" s="38" t="str">
        <f>IF(Mängud!G6="","",Mängud!G6)</f>
        <v>3:0</v>
      </c>
    </row>
    <row r="30" spans="1:7" ht="12.75">
      <c r="A30">
        <v>106</v>
      </c>
      <c r="C30">
        <f>IF(D30="","",VLOOKUP(D30,Paigutus!D:E,2,FALSE))</f>
        <v>1684</v>
      </c>
      <c r="D30" t="str">
        <f>IF(Mängud!F7="","",Mängud!F7)</f>
        <v>Tõnu Hansar</v>
      </c>
      <c r="E30">
        <f>IF(F30="","",VLOOKUP(F30,Paigutus!D:E,2,FALSE))</f>
        <v>10411</v>
      </c>
      <c r="F30" t="str">
        <f>IF(D30="","",IF(D30=Mängud!B7,Mängud!C7,Mängud!B7))</f>
        <v>Aivar Soo</v>
      </c>
      <c r="G30" s="38" t="str">
        <f>IF(Mängud!G7="","",Mängud!G7)</f>
        <v>3:0</v>
      </c>
    </row>
    <row r="31" spans="1:7" ht="12.75">
      <c r="A31">
        <v>107</v>
      </c>
      <c r="C31">
        <f>IF(D31="","",VLOOKUP(D31,Paigutus!D:E,2,FALSE))</f>
        <v>336</v>
      </c>
      <c r="D31" t="str">
        <f>IF(Mängud!F8="","",Mängud!F8)</f>
        <v>Toomas Hansar</v>
      </c>
      <c r="E31">
        <f>IF(F31="","",VLOOKUP(F31,Paigutus!D:E,2,FALSE))</f>
        <v>3451</v>
      </c>
      <c r="F31" t="str">
        <f>IF(D31="","",IF(D31=Mängud!B8,Mängud!C8,Mängud!B8))</f>
        <v>Raivo Roots</v>
      </c>
      <c r="G31" s="38" t="str">
        <f>IF(Mängud!G8="","",Mängud!G8)</f>
        <v>3:2</v>
      </c>
    </row>
    <row r="32" spans="1:7" ht="12.75">
      <c r="A32">
        <v>108</v>
      </c>
      <c r="C32">
        <f>IF(D32="","",VLOOKUP(D32,Paigutus!D:E,2,FALSE))</f>
        <v>346</v>
      </c>
      <c r="D32" t="str">
        <f>IF(Mängud!F9="","",Mängud!F9)</f>
        <v>Kalju Kalda</v>
      </c>
      <c r="E32">
        <f>IF(F32="","",VLOOKUP(F32,Paigutus!D:E,2,FALSE))</f>
        <v>0</v>
      </c>
      <c r="F32" t="str">
        <f>IF(D32="","",IF(D32=Mängud!B9,Mängud!C9,Mängud!B9))</f>
        <v>Taivo Koitla</v>
      </c>
      <c r="G32" s="38" t="str">
        <f>IF(Mängud!G9="","",Mängud!G9)</f>
        <v>3:0</v>
      </c>
    </row>
    <row r="33" spans="1:7" ht="12.75">
      <c r="A33">
        <v>109</v>
      </c>
      <c r="C33">
        <f>IF(D33="","",VLOOKUP(D33,Paigutus!D:E,2,FALSE))</f>
        <v>441</v>
      </c>
      <c r="D33" t="str">
        <f>IF(Mängud!F10="","",Mängud!F10)</f>
        <v>Imre Korsen</v>
      </c>
      <c r="E33">
        <f>IF(F33="","",VLOOKUP(F33,Paigutus!D:E,2,FALSE))</f>
        <v>7667</v>
      </c>
      <c r="F33" t="str">
        <f>IF(D33="","",IF(D33=Mängud!B10,Mängud!C10,Mängud!B10))</f>
        <v>Andrus Plamus</v>
      </c>
      <c r="G33" s="38" t="str">
        <f>IF(Mängud!G10="","",Mängud!G10)</f>
        <v>3:0</v>
      </c>
    </row>
    <row r="34" spans="1:7" ht="12.75">
      <c r="A34">
        <v>110</v>
      </c>
      <c r="C34">
        <f>IF(D34="","",VLOOKUP(D34,Paigutus!D:E,2,FALSE))</f>
        <v>493</v>
      </c>
      <c r="D34" t="str">
        <f>IF(Mängud!F11="","",Mängud!F11)</f>
        <v>Almar Rahuoja</v>
      </c>
      <c r="E34">
        <f>IF(F34="","",VLOOKUP(F34,Paigutus!D:E,2,FALSE))</f>
        <v>9400</v>
      </c>
      <c r="F34" t="str">
        <f>IF(D34="","",IF(D34=Mängud!B11,Mängud!C11,Mängud!B11))</f>
        <v>Hannes Lepik</v>
      </c>
      <c r="G34" s="38" t="str">
        <f>IF(Mängud!G11="","",Mängud!G11)</f>
        <v>3:1</v>
      </c>
    </row>
    <row r="35" spans="1:7" ht="12.75">
      <c r="A35">
        <v>111</v>
      </c>
      <c r="C35">
        <f>IF(D35="","",VLOOKUP(D35,Paigutus!D:E,2,FALSE))</f>
        <v>7194</v>
      </c>
      <c r="D35" t="str">
        <f>IF(Mängud!F12="","",Mängud!F12)</f>
        <v>Raigo Rommot</v>
      </c>
      <c r="E35">
        <f>IF(F35="","",VLOOKUP(F35,Paigutus!D:E,2,FALSE))</f>
        <v>1684</v>
      </c>
      <c r="F35" t="str">
        <f>IF(D35="","",IF(D35=Mängud!B12,Mängud!C12,Mängud!B12))</f>
        <v>Tõnu Hansar</v>
      </c>
      <c r="G35" s="38" t="str">
        <f>IF(Mängud!G12="","",Mängud!G12)</f>
        <v>3:0</v>
      </c>
    </row>
    <row r="36" spans="1:7" ht="12.75">
      <c r="A36">
        <v>112</v>
      </c>
      <c r="C36">
        <f>IF(D36="","",VLOOKUP(D36,Paigutus!D:E,2,FALSE))</f>
        <v>346</v>
      </c>
      <c r="D36" t="str">
        <f>IF(Mängud!F13="","",Mängud!F13)</f>
        <v>Kalju Kalda</v>
      </c>
      <c r="E36">
        <f>IF(F36="","",VLOOKUP(F36,Paigutus!D:E,2,FALSE))</f>
        <v>336</v>
      </c>
      <c r="F36" t="str">
        <f>IF(D36="","",IF(D36=Mängud!B13,Mängud!C13,Mängud!B13))</f>
        <v>Toomas Hansar</v>
      </c>
      <c r="G36" s="38" t="str">
        <f>IF(Mängud!G13="","",Mängud!G13)</f>
        <v>3:0</v>
      </c>
    </row>
    <row r="37" spans="1:7" ht="12.75">
      <c r="A37">
        <v>113</v>
      </c>
      <c r="C37">
        <f>IF(D37="","",VLOOKUP(D37,Paigutus!D:E,2,FALSE))</f>
        <v>8332</v>
      </c>
      <c r="D37" t="str">
        <f>IF(Mängud!F14="","",Mängud!F14)</f>
        <v>Virgo Runno</v>
      </c>
      <c r="E37">
        <f>IF(F37="","",VLOOKUP(F37,Paigutus!D:E,2,FALSE))</f>
        <v>9455</v>
      </c>
      <c r="F37" t="str">
        <f>IF(D37="","",IF(D37=Mängud!B14,Mängud!C14,Mängud!B14))</f>
        <v>Kristo Kerno</v>
      </c>
      <c r="G37" s="38" t="str">
        <f>IF(Mängud!G14="","",Mängud!G14)</f>
        <v>3:1</v>
      </c>
    </row>
    <row r="38" spans="1:7" ht="12.75">
      <c r="A38">
        <v>114</v>
      </c>
      <c r="C38">
        <f>IF(D38="","",VLOOKUP(D38,Paigutus!D:E,2,FALSE))</f>
        <v>299</v>
      </c>
      <c r="D38" t="str">
        <f>IF(Mängud!F15="","",Mängud!F15)</f>
        <v>Heiki Hansar</v>
      </c>
      <c r="E38">
        <f>IF(F38="","",VLOOKUP(F38,Paigutus!D:E,2,FALSE))</f>
        <v>0</v>
      </c>
      <c r="F38" t="str">
        <f>IF(D38="","",IF(D38=Mängud!B15,Mängud!C15,Mängud!B15))</f>
        <v>Bye Bye</v>
      </c>
      <c r="G38" s="38" t="str">
        <f>IF(Mängud!G15="","",Mängud!G15)</f>
        <v>w:0</v>
      </c>
    </row>
    <row r="39" spans="1:7" ht="12.75">
      <c r="A39">
        <v>115</v>
      </c>
      <c r="C39">
        <f>IF(D39="","",VLOOKUP(D39,Paigutus!D:E,2,FALSE))</f>
        <v>3451</v>
      </c>
      <c r="D39" t="str">
        <f>IF(Mängud!F16="","",Mängud!F16)</f>
        <v>Raivo Roots</v>
      </c>
      <c r="E39">
        <f>IF(F39="","",VLOOKUP(F39,Paigutus!D:E,2,FALSE))</f>
        <v>0</v>
      </c>
      <c r="F39" t="str">
        <f>IF(D39="","",IF(D39=Mängud!B16,Mängud!C16,Mängud!B16))</f>
        <v>Taivo Koitla</v>
      </c>
      <c r="G39" s="38" t="str">
        <f>IF(Mängud!G16="","",Mängud!G16)</f>
        <v>3:0</v>
      </c>
    </row>
    <row r="40" spans="1:7" ht="12.75">
      <c r="A40">
        <v>116</v>
      </c>
      <c r="C40">
        <f>IF(D40="","",VLOOKUP(D40,Paigutus!D:E,2,FALSE))</f>
        <v>10411</v>
      </c>
      <c r="D40" t="str">
        <f>IF(Mängud!F17="","",Mängud!F17)</f>
        <v>Aivar Soo</v>
      </c>
      <c r="E40">
        <f>IF(F40="","",VLOOKUP(F40,Paigutus!D:E,2,FALSE))</f>
        <v>0</v>
      </c>
      <c r="F40" t="str">
        <f>IF(D40="","",IF(D40=Mängud!B17,Mängud!C17,Mängud!B17))</f>
        <v>Siim Esko</v>
      </c>
      <c r="G40" s="38" t="str">
        <f>IF(Mängud!G17="","",Mängud!G17)</f>
        <v>3:1</v>
      </c>
    </row>
    <row r="41" spans="1:7" ht="12.75">
      <c r="A41">
        <v>117</v>
      </c>
      <c r="C41">
        <f>IF(D41="","",VLOOKUP(D41,Paigutus!D:E,2,FALSE))</f>
        <v>441</v>
      </c>
      <c r="D41" t="str">
        <f>IF(Mängud!F18="","",Mängud!F18)</f>
        <v>Imre Korsen</v>
      </c>
      <c r="E41">
        <f>IF(F41="","",VLOOKUP(F41,Paigutus!D:E,2,FALSE))</f>
        <v>493</v>
      </c>
      <c r="F41" t="str">
        <f>IF(D41="","",IF(D41=Mängud!B18,Mängud!C18,Mängud!B18))</f>
        <v>Almar Rahuoja</v>
      </c>
      <c r="G41" s="38" t="str">
        <f>IF(Mängud!G18="","",Mängud!G18)</f>
        <v>3:1</v>
      </c>
    </row>
    <row r="42" spans="1:7" ht="12.75">
      <c r="A42">
        <v>118</v>
      </c>
      <c r="C42">
        <f>IF(D42="","",VLOOKUP(D42,Paigutus!D:E,2,FALSE))</f>
        <v>346</v>
      </c>
      <c r="D42" t="str">
        <f>IF(Mängud!F19="","",Mängud!F19)</f>
        <v>Kalju Kalda</v>
      </c>
      <c r="E42">
        <f>IF(F42="","",VLOOKUP(F42,Paigutus!D:E,2,FALSE))</f>
        <v>7194</v>
      </c>
      <c r="F42" t="str">
        <f>IF(D42="","",IF(D42=Mängud!B19,Mängud!C19,Mängud!B19))</f>
        <v>Raigo Rommot</v>
      </c>
      <c r="G42" s="38" t="str">
        <f>IF(Mängud!G19="","",Mängud!G19)</f>
        <v>3:0</v>
      </c>
    </row>
    <row r="43" spans="1:7" ht="12.75">
      <c r="A43">
        <v>119</v>
      </c>
      <c r="C43">
        <f>IF(D43="","",VLOOKUP(D43,Paigutus!D:E,2,FALSE))</f>
        <v>336</v>
      </c>
      <c r="D43" t="str">
        <f>IF(Mängud!F20="","",Mängud!F20)</f>
        <v>Toomas Hansar</v>
      </c>
      <c r="E43">
        <f>IF(F43="","",VLOOKUP(F43,Paigutus!D:E,2,FALSE))</f>
        <v>8332</v>
      </c>
      <c r="F43" t="str">
        <f>IF(D43="","",IF(D43=Mängud!B20,Mängud!C20,Mängud!B20))</f>
        <v>Virgo Runno</v>
      </c>
      <c r="G43" s="38" t="str">
        <f>IF(Mängud!G20="","",Mängud!G20)</f>
        <v>3:1</v>
      </c>
    </row>
    <row r="44" spans="1:7" ht="12.75">
      <c r="A44">
        <v>120</v>
      </c>
      <c r="C44">
        <f>IF(D44="","",VLOOKUP(D44,Paigutus!D:E,2,FALSE))</f>
        <v>1684</v>
      </c>
      <c r="D44" t="str">
        <f>IF(Mängud!F21="","",Mängud!F21)</f>
        <v>Tõnu Hansar</v>
      </c>
      <c r="E44">
        <f>IF(F44="","",VLOOKUP(F44,Paigutus!D:E,2,FALSE))</f>
        <v>299</v>
      </c>
      <c r="F44" t="str">
        <f>IF(D44="","",IF(D44=Mängud!B21,Mängud!C21,Mängud!B21))</f>
        <v>Heiki Hansar</v>
      </c>
      <c r="G44" s="38" t="str">
        <f>IF(Mängud!G21="","",Mängud!G21)</f>
        <v>3:1</v>
      </c>
    </row>
    <row r="45" spans="1:7" ht="12.75">
      <c r="A45">
        <v>121</v>
      </c>
      <c r="C45">
        <f>IF(D45="","",VLOOKUP(D45,Paigutus!D:E,2,FALSE))</f>
        <v>9400</v>
      </c>
      <c r="D45" t="str">
        <f>IF(Mängud!F22="","",Mängud!F22)</f>
        <v>Hannes Lepik</v>
      </c>
      <c r="E45">
        <f>IF(F45="","",VLOOKUP(F45,Paigutus!D:E,2,FALSE))</f>
        <v>3451</v>
      </c>
      <c r="F45" t="str">
        <f>IF(D45="","",IF(D45=Mängud!B22,Mängud!C22,Mängud!B22))</f>
        <v>Raivo Roots</v>
      </c>
      <c r="G45" s="38" t="str">
        <f>IF(Mängud!G22="","",Mängud!G22)</f>
        <v>3:0</v>
      </c>
    </row>
    <row r="46" spans="1:7" ht="12.75">
      <c r="A46">
        <v>122</v>
      </c>
      <c r="C46">
        <f>IF(D46="","",VLOOKUP(D46,Paigutus!D:E,2,FALSE))</f>
        <v>7667</v>
      </c>
      <c r="D46" t="str">
        <f>IF(Mängud!F23="","",Mängud!F23)</f>
        <v>Andrus Plamus</v>
      </c>
      <c r="E46">
        <f>IF(F46="","",VLOOKUP(F46,Paigutus!D:E,2,FALSE))</f>
        <v>10411</v>
      </c>
      <c r="F46" t="str">
        <f>IF(D46="","",IF(D46=Mängud!B23,Mängud!C23,Mängud!B23))</f>
        <v>Aivar Soo</v>
      </c>
      <c r="G46" s="38" t="str">
        <f>IF(Mängud!G23="","",Mängud!G23)</f>
        <v>3:0</v>
      </c>
    </row>
    <row r="47" spans="1:7" ht="12.75">
      <c r="A47">
        <v>123</v>
      </c>
      <c r="C47">
        <f>IF(D47="","",VLOOKUP(D47,Paigutus!D:E,2,FALSE))</f>
        <v>9455</v>
      </c>
      <c r="D47" t="str">
        <f>IF(Mängud!F24="","",Mängud!F24)</f>
        <v>Kristo Kerno</v>
      </c>
      <c r="E47">
        <f>IF(F47="","",VLOOKUP(F47,Paigutus!D:E,2,FALSE))</f>
        <v>0</v>
      </c>
      <c r="F47" t="str">
        <f>IF(D47="","",IF(D47=Mängud!B24,Mängud!C24,Mängud!B24))</f>
        <v>Bye Bye</v>
      </c>
      <c r="G47" s="38" t="str">
        <f>IF(Mängud!G24="","",Mängud!G24)</f>
        <v>w:0</v>
      </c>
    </row>
    <row r="48" spans="1:7" ht="12.75">
      <c r="A48">
        <v>124</v>
      </c>
      <c r="C48">
        <f>IF(D48="","",VLOOKUP(D48,Paigutus!D:E,2,FALSE))</f>
        <v>0</v>
      </c>
      <c r="D48" t="str">
        <f>IF(Mängud!F25="","",Mängud!F25)</f>
        <v>Siim Esko</v>
      </c>
      <c r="E48">
        <f>IF(F48="","",VLOOKUP(F48,Paigutus!D:E,2,FALSE))</f>
        <v>0</v>
      </c>
      <c r="F48" t="str">
        <f>IF(D48="","",IF(D48=Mängud!B25,Mängud!C25,Mängud!B25))</f>
        <v>Taivo Koitla</v>
      </c>
      <c r="G48" s="38" t="str">
        <f>IF(Mängud!G25="","",Mängud!G25)</f>
        <v>3:2</v>
      </c>
    </row>
    <row r="49" spans="1:7" ht="12.75">
      <c r="A49">
        <v>125</v>
      </c>
      <c r="C49">
        <f>IF(D49="","",VLOOKUP(D49,Paigutus!D:E,2,FALSE))</f>
        <v>1684</v>
      </c>
      <c r="D49" t="str">
        <f>IF(Mängud!F26="","",Mängud!F26)</f>
        <v>Tõnu Hansar</v>
      </c>
      <c r="E49">
        <f>IF(F49="","",VLOOKUP(F49,Paigutus!D:E,2,FALSE))</f>
        <v>336</v>
      </c>
      <c r="F49" t="str">
        <f>IF(D49="","",IF(D49=Mängud!B26,Mängud!C26,Mängud!B26))</f>
        <v>Toomas Hansar</v>
      </c>
      <c r="G49" s="38" t="str">
        <f>IF(Mängud!G26="","",Mängud!G26)</f>
        <v>3:2</v>
      </c>
    </row>
    <row r="50" spans="1:7" ht="12.75">
      <c r="A50">
        <v>126</v>
      </c>
      <c r="C50">
        <f>IF(D50="","",VLOOKUP(D50,Paigutus!D:E,2,FALSE))</f>
        <v>9400</v>
      </c>
      <c r="D50" t="str">
        <f>IF(Mängud!F27="","",Mängud!F27)</f>
        <v>Hannes Lepik</v>
      </c>
      <c r="E50">
        <f>IF(F50="","",VLOOKUP(F50,Paigutus!D:E,2,FALSE))</f>
        <v>7667</v>
      </c>
      <c r="F50" t="str">
        <f>IF(D50="","",IF(D50=Mängud!B27,Mängud!C27,Mängud!B27))</f>
        <v>Andrus Plamus</v>
      </c>
      <c r="G50" s="38" t="str">
        <f>IF(Mängud!G27="","",Mängud!G27)</f>
        <v>3:1</v>
      </c>
    </row>
    <row r="51" spans="1:7" ht="12.75">
      <c r="A51">
        <v>127</v>
      </c>
      <c r="C51">
        <f>IF(D51="","",VLOOKUP(D51,Paigutus!D:E,2,FALSE))</f>
        <v>8332</v>
      </c>
      <c r="D51" t="str">
        <f>IF(Mängud!F28="","",Mängud!F28)</f>
        <v>Virgo Runno</v>
      </c>
      <c r="E51">
        <f>IF(F51="","",VLOOKUP(F51,Paigutus!D:E,2,FALSE))</f>
        <v>299</v>
      </c>
      <c r="F51" t="str">
        <f>IF(D51="","",IF(D51=Mängud!B28,Mängud!C28,Mängud!B28))</f>
        <v>Heiki Hansar</v>
      </c>
      <c r="G51" s="38" t="str">
        <f>IF(Mängud!G28="","",Mängud!G28)</f>
        <v>3:0</v>
      </c>
    </row>
    <row r="52" spans="1:7" ht="12.75">
      <c r="A52">
        <v>128</v>
      </c>
      <c r="C52">
        <f>IF(D52="","",VLOOKUP(D52,Paigutus!D:E,2,FALSE))</f>
        <v>3451</v>
      </c>
      <c r="D52" t="str">
        <f>IF(Mängud!F29="","",Mängud!F29)</f>
        <v>Raivo Roots</v>
      </c>
      <c r="E52">
        <f>IF(F52="","",VLOOKUP(F52,Paigutus!D:E,2,FALSE))</f>
        <v>10411</v>
      </c>
      <c r="F52" t="str">
        <f>IF(D52="","",IF(D52=Mängud!B29,Mängud!C29,Mängud!B29))</f>
        <v>Aivar Soo</v>
      </c>
      <c r="G52" s="38" t="str">
        <f>IF(Mängud!G29="","",Mängud!G29)</f>
        <v>3:1</v>
      </c>
    </row>
    <row r="53" spans="1:7" ht="12.75">
      <c r="A53">
        <v>129</v>
      </c>
      <c r="C53">
        <f>IF(D53="","",VLOOKUP(D53,Paigutus!D:E,2,FALSE))</f>
        <v>493</v>
      </c>
      <c r="D53" t="str">
        <f>IF(Mängud!F30="","",Mängud!F30)</f>
        <v>Almar Rahuoja</v>
      </c>
      <c r="E53">
        <f>IF(F53="","",VLOOKUP(F53,Paigutus!D:E,2,FALSE))</f>
        <v>1684</v>
      </c>
      <c r="F53" t="str">
        <f>IF(D53="","",IF(D53=Mängud!B30,Mängud!C30,Mängud!B30))</f>
        <v>Tõnu Hansar</v>
      </c>
      <c r="G53" s="38" t="str">
        <f>IF(Mängud!G30="","",Mängud!G30)</f>
        <v>3:1</v>
      </c>
    </row>
    <row r="54" spans="1:7" ht="12.75">
      <c r="A54">
        <v>130</v>
      </c>
      <c r="C54">
        <f>IF(D54="","",VLOOKUP(D54,Paigutus!D:E,2,FALSE))</f>
        <v>9400</v>
      </c>
      <c r="D54" t="str">
        <f>IF(Mängud!F31="","",Mängud!F31)</f>
        <v>Hannes Lepik</v>
      </c>
      <c r="E54">
        <f>IF(F54="","",VLOOKUP(F54,Paigutus!D:E,2,FALSE))</f>
        <v>7194</v>
      </c>
      <c r="F54" t="str">
        <f>IF(D54="","",IF(D54=Mängud!B31,Mängud!C31,Mängud!B31))</f>
        <v>Raigo Rommot</v>
      </c>
      <c r="G54" s="38" t="str">
        <f>IF(Mängud!G31="","",Mängud!G31)</f>
        <v>3:2</v>
      </c>
    </row>
    <row r="55" spans="1:7" ht="12.75">
      <c r="A55">
        <v>131</v>
      </c>
      <c r="C55">
        <f>IF(D55="","",VLOOKUP(D55,Paigutus!D:E,2,FALSE))</f>
        <v>441</v>
      </c>
      <c r="D55" t="str">
        <f>IF(Mängud!F32="","",Mängud!F32)</f>
        <v>Imre Korsen</v>
      </c>
      <c r="E55">
        <f>IF(F55="","",VLOOKUP(F55,Paigutus!D:E,2,FALSE))</f>
        <v>346</v>
      </c>
      <c r="F55" t="str">
        <f>IF(D55="","",IF(D55=Mängud!B32,Mängud!C32,Mängud!B32))</f>
        <v>Kalju Kalda</v>
      </c>
      <c r="G55" s="38" t="str">
        <f>IF(Mängud!G32="","",Mängud!G32)</f>
        <v>3:1</v>
      </c>
    </row>
    <row r="56" spans="1:7" ht="12.75">
      <c r="A56">
        <v>132</v>
      </c>
      <c r="C56">
        <f>IF(D56="","",VLOOKUP(D56,Paigutus!D:E,2,FALSE))</f>
        <v>0</v>
      </c>
      <c r="D56" t="str">
        <f>IF(Mängud!F33="","",Mängud!F33)</f>
        <v>Taivo Koitla</v>
      </c>
      <c r="E56">
        <f>IF(F56="","",VLOOKUP(F56,Paigutus!D:E,2,FALSE))</f>
        <v>0</v>
      </c>
      <c r="F56" t="str">
        <f>IF(D56="","",IF(D56=Mängud!B33,Mängud!C33,Mängud!B33))</f>
        <v>Bye Bye</v>
      </c>
      <c r="G56" s="38" t="str">
        <f>IF(Mängud!G33="","",Mängud!G33)</f>
        <v>w:0</v>
      </c>
    </row>
    <row r="57" spans="1:7" ht="12.75">
      <c r="A57">
        <v>133</v>
      </c>
      <c r="C57">
        <f>IF(D57="","",VLOOKUP(D57,Paigutus!D:E,2,FALSE))</f>
        <v>9455</v>
      </c>
      <c r="D57" t="str">
        <f>IF(Mängud!F34="","",Mängud!F34)</f>
        <v>Kristo Kerno</v>
      </c>
      <c r="E57">
        <f>IF(F57="","",VLOOKUP(F57,Paigutus!D:E,2,FALSE))</f>
        <v>0</v>
      </c>
      <c r="F57" t="str">
        <f>IF(D57="","",IF(D57=Mängud!B34,Mängud!C34,Mängud!B34))</f>
        <v>Siim Esko</v>
      </c>
      <c r="G57" s="38" t="str">
        <f>IF(Mängud!G34="","",Mängud!G34)</f>
        <v>3:0</v>
      </c>
    </row>
    <row r="58" spans="1:7" ht="12.75">
      <c r="A58">
        <v>134</v>
      </c>
      <c r="C58">
        <f>IF(D58="","",VLOOKUP(D58,Paigutus!D:E,2,FALSE))</f>
        <v>299</v>
      </c>
      <c r="D58" t="str">
        <f>IF(Mängud!F35="","",Mängud!F35)</f>
        <v>Heiki Hansar</v>
      </c>
      <c r="E58">
        <f>IF(F58="","",VLOOKUP(F58,Paigutus!D:E,2,FALSE))</f>
        <v>10411</v>
      </c>
      <c r="F58" t="str">
        <f>IF(D58="","",IF(D58=Mängud!B35,Mängud!C35,Mängud!B35))</f>
        <v>Aivar Soo</v>
      </c>
      <c r="G58" s="38" t="str">
        <f>IF(Mängud!G35="","",Mängud!G35)</f>
        <v>3:2</v>
      </c>
    </row>
    <row r="59" spans="1:7" ht="12.75">
      <c r="A59">
        <v>135</v>
      </c>
      <c r="C59">
        <f>IF(D59="","",VLOOKUP(D59,Paigutus!D:E,2,FALSE))</f>
        <v>8332</v>
      </c>
      <c r="D59" t="str">
        <f>IF(Mängud!F36="","",Mängud!F36)</f>
        <v>Virgo Runno</v>
      </c>
      <c r="E59">
        <f>IF(F59="","",VLOOKUP(F59,Paigutus!D:E,2,FALSE))</f>
        <v>3451</v>
      </c>
      <c r="F59" t="str">
        <f>IF(D59="","",IF(D59=Mängud!B36,Mängud!C36,Mängud!B36))</f>
        <v>Raivo Roots</v>
      </c>
      <c r="G59" s="38" t="str">
        <f>IF(Mängud!G36="","",Mängud!G36)</f>
        <v>3:1</v>
      </c>
    </row>
    <row r="60" spans="1:7" ht="12.75">
      <c r="A60">
        <v>136</v>
      </c>
      <c r="C60">
        <f>IF(D60="","",VLOOKUP(D60,Paigutus!D:E,2,FALSE))</f>
        <v>336</v>
      </c>
      <c r="D60" t="str">
        <f>IF(Mängud!F37="","",Mängud!F37)</f>
        <v>Toomas Hansar</v>
      </c>
      <c r="E60">
        <f>IF(F60="","",VLOOKUP(F60,Paigutus!D:E,2,FALSE))</f>
        <v>7667</v>
      </c>
      <c r="F60" t="str">
        <f>IF(D60="","",IF(D60=Mängud!B37,Mängud!C37,Mängud!B37))</f>
        <v>Andrus Plamus</v>
      </c>
      <c r="G60" s="38" t="str">
        <f>IF(Mängud!G37="","",Mängud!G37)</f>
        <v>3:1</v>
      </c>
    </row>
    <row r="61" spans="1:7" ht="12.75">
      <c r="A61">
        <v>137</v>
      </c>
      <c r="C61">
        <f>IF(D61="","",VLOOKUP(D61,Paigutus!D:E,2,FALSE))</f>
        <v>7194</v>
      </c>
      <c r="D61" t="str">
        <f>IF(Mängud!F38="","",Mängud!F38)</f>
        <v>Raigo Rommot</v>
      </c>
      <c r="E61">
        <f>IF(F61="","",VLOOKUP(F61,Paigutus!D:E,2,FALSE))</f>
        <v>1684</v>
      </c>
      <c r="F61" t="str">
        <f>IF(D61="","",IF(D61=Mängud!B38,Mängud!C38,Mängud!B38))</f>
        <v>Tõnu Hansar</v>
      </c>
      <c r="G61" s="38" t="str">
        <f>IF(Mängud!G38="","",Mängud!G38)</f>
        <v>3:0</v>
      </c>
    </row>
    <row r="62" spans="1:7" ht="12.75">
      <c r="A62">
        <v>138</v>
      </c>
      <c r="C62">
        <f>IF(D62="","",VLOOKUP(D62,Paigutus!D:E,2,FALSE))</f>
        <v>493</v>
      </c>
      <c r="D62" t="str">
        <f>IF(Mängud!F39="","",Mängud!F39)</f>
        <v>Almar Rahuoja</v>
      </c>
      <c r="E62">
        <f>IF(F62="","",VLOOKUP(F62,Paigutus!D:E,2,FALSE))</f>
        <v>9400</v>
      </c>
      <c r="F62" t="str">
        <f>IF(D62="","",IF(D62=Mängud!B39,Mängud!C39,Mängud!B39))</f>
        <v>Hannes Lepik</v>
      </c>
      <c r="G62" s="38" t="str">
        <f>IF(Mängud!G39="","",Mängud!G39)</f>
        <v>3:0</v>
      </c>
    </row>
  </sheetData>
  <sheetProtection/>
  <printOptions/>
  <pageMargins left="0.7" right="0.7" top="0.75" bottom="0.75" header="0.3" footer="0.3"/>
  <pageSetup orientation="portrait" paperSize="9"/>
  <ignoredErrors>
    <ignoredError sqref="D25:D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Kasutaja</cp:lastModifiedBy>
  <cp:lastPrinted>2015-05-14T13:57:07Z</cp:lastPrinted>
  <dcterms:created xsi:type="dcterms:W3CDTF">2011-03-23T14:00:43Z</dcterms:created>
  <dcterms:modified xsi:type="dcterms:W3CDTF">2023-10-15T10:00:20Z</dcterms:modified>
  <cp:category/>
  <cp:version/>
  <cp:contentType/>
  <cp:contentStatus/>
</cp:coreProperties>
</file>