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6" windowHeight="7176" tabRatio="698" activeTab="4"/>
  </bookViews>
  <sheets>
    <sheet name="Paigutus" sheetId="1" r:id="rId1"/>
    <sheet name="Plussring" sheetId="2" r:id="rId2"/>
    <sheet name="Kohad_3-16" sheetId="3" r:id="rId3"/>
    <sheet name="Kohad_17-32" sheetId="4" r:id="rId4"/>
    <sheet name="Mängud" sheetId="5" r:id="rId5"/>
    <sheet name="Lõpptulemused" sheetId="6" r:id="rId6"/>
    <sheet name="Protokoll" sheetId="7" r:id="rId7"/>
    <sheet name="Reitinguks" sheetId="8" r:id="rId8"/>
  </sheets>
  <definedNames>
    <definedName name="_xlnm._FilterDatabase" localSheetId="5" hidden="1">'Lõpptulemused'!$C$1:$D$33</definedName>
  </definedNames>
  <calcPr fullCalcOnLoad="1"/>
</workbook>
</file>

<file path=xl/sharedStrings.xml><?xml version="1.0" encoding="utf-8"?>
<sst xmlns="http://schemas.openxmlformats.org/spreadsheetml/2006/main" count="440" uniqueCount="199">
  <si>
    <t>Jrk.</t>
  </si>
  <si>
    <t>Eesnimi</t>
  </si>
  <si>
    <t>Nimi</t>
  </si>
  <si>
    <t>Nimi kokku</t>
  </si>
  <si>
    <t>ID</t>
  </si>
  <si>
    <t>Eesti Lauatenniseliit</t>
  </si>
  <si>
    <t>Tulemused kinnitab:</t>
  </si>
  <si>
    <t>ESTONIAN TABLE TENNIS ASSOCIATION</t>
  </si>
  <si>
    <t>Kohtuniku nimi</t>
  </si>
  <si>
    <t>1.</t>
  </si>
  <si>
    <t>2.</t>
  </si>
  <si>
    <t>5.</t>
  </si>
  <si>
    <t>3.</t>
  </si>
  <si>
    <t>6.</t>
  </si>
  <si>
    <t>4.</t>
  </si>
  <si>
    <t>7.</t>
  </si>
  <si>
    <t>8.</t>
  </si>
  <si>
    <t>9.</t>
  </si>
  <si>
    <t>11.</t>
  </si>
  <si>
    <t>10.</t>
  </si>
  <si>
    <t>12.</t>
  </si>
  <si>
    <t>13.</t>
  </si>
  <si>
    <t>15.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</si>
  <si>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</si>
  <si>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</si>
  <si>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</si>
  <si>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</si>
  <si>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</si>
  <si>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</si>
  <si>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</si>
  <si>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</si>
  <si>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</si>
  <si>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</si>
  <si>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</si>
  <si>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</si>
  <si>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</si>
  <si>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</si>
  <si>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</si>
  <si>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</si>
  <si>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</si>
  <si>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</si>
  <si>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Mäng</t>
  </si>
  <si>
    <t>Mängija1</t>
  </si>
  <si>
    <t>Mängija2</t>
  </si>
  <si>
    <t>Laud</t>
  </si>
  <si>
    <t>Võitja</t>
  </si>
  <si>
    <t>Tulemus</t>
  </si>
  <si>
    <t>Tulemused</t>
  </si>
  <si>
    <t>Lauad</t>
  </si>
  <si>
    <t>3:0</t>
  </si>
  <si>
    <t>3:1</t>
  </si>
  <si>
    <t>3:2</t>
  </si>
  <si>
    <t>w.o.</t>
  </si>
  <si>
    <t>2:0</t>
  </si>
  <si>
    <t>2:1</t>
  </si>
  <si>
    <t>4:0</t>
  </si>
  <si>
    <t>4:1</t>
  </si>
  <si>
    <t>4:2</t>
  </si>
  <si>
    <t>4:3</t>
  </si>
  <si>
    <t>Finaal</t>
  </si>
  <si>
    <t>31-32.koht</t>
  </si>
  <si>
    <t>29-30.koht</t>
  </si>
  <si>
    <t>27-28.koht</t>
  </si>
  <si>
    <t>25-26.koht</t>
  </si>
  <si>
    <t>23-24.koht</t>
  </si>
  <si>
    <t>21-22.koht</t>
  </si>
  <si>
    <t>19-20.koht</t>
  </si>
  <si>
    <t>17-18.koht</t>
  </si>
  <si>
    <t>15-16.koht</t>
  </si>
  <si>
    <t>13-14.koht</t>
  </si>
  <si>
    <t>11-12.koht</t>
  </si>
  <si>
    <t>9-10.koht</t>
  </si>
  <si>
    <t>7-8.koht</t>
  </si>
  <si>
    <t>5-6.koht</t>
  </si>
  <si>
    <t>3-4.koht</t>
  </si>
  <si>
    <t xml:space="preserve">Koht </t>
  </si>
  <si>
    <t>A</t>
  </si>
  <si>
    <t>B</t>
  </si>
  <si>
    <t>C</t>
  </si>
  <si>
    <t>D</t>
  </si>
  <si>
    <t>E</t>
  </si>
  <si>
    <t>F</t>
  </si>
  <si>
    <t>G</t>
  </si>
  <si>
    <t>H</t>
  </si>
  <si>
    <t>VOISTLUS</t>
  </si>
  <si>
    <t>KUUPAEV</t>
  </si>
  <si>
    <t>ASUKOHT</t>
  </si>
  <si>
    <t>KOHTUNIK</t>
  </si>
  <si>
    <t>KORRALDAJA</t>
  </si>
  <si>
    <t>PERENIMI</t>
  </si>
  <si>
    <t>EESNIMI</t>
  </si>
  <si>
    <t>ELTLID</t>
  </si>
  <si>
    <t>MANGU_ID</t>
  </si>
  <si>
    <t>KLASS</t>
  </si>
  <si>
    <t>VOITJA_ID</t>
  </si>
  <si>
    <t>VOITJA_NIMI</t>
  </si>
  <si>
    <t>KAOTAJA_ID</t>
  </si>
  <si>
    <t>KAOTAJA_NIMI</t>
  </si>
  <si>
    <t>SETID</t>
  </si>
  <si>
    <t>PUNKTID</t>
  </si>
  <si>
    <t xml:space="preserve">   </t>
  </si>
  <si>
    <t>MIINUSRING (KOHAD  3. - 16.)</t>
  </si>
  <si>
    <t>PLUSSRING</t>
  </si>
  <si>
    <t>KOHAD  17. - 32.</t>
  </si>
  <si>
    <t xml:space="preserve">  </t>
  </si>
  <si>
    <t>Pool1</t>
  </si>
  <si>
    <t>Pool2</t>
  </si>
  <si>
    <t>Kohad</t>
  </si>
  <si>
    <t>Vanusegrupp</t>
  </si>
  <si>
    <t>Kohalik</t>
  </si>
  <si>
    <t>Antti</t>
  </si>
  <si>
    <t>Luigemaa</t>
  </si>
  <si>
    <t>Antti Luigemaa</t>
  </si>
  <si>
    <t>Allan</t>
  </si>
  <si>
    <t>Salla</t>
  </si>
  <si>
    <t>Allan Salla</t>
  </si>
  <si>
    <t>Andres</t>
  </si>
  <si>
    <t>Somer</t>
  </si>
  <si>
    <t>Andres Somer</t>
  </si>
  <si>
    <t>Urmas</t>
  </si>
  <si>
    <t>Sinisalu</t>
  </si>
  <si>
    <t>Urmas Sinisalu</t>
  </si>
  <si>
    <t>Vladyslav</t>
  </si>
  <si>
    <t>Rybachok</t>
  </si>
  <si>
    <t>Vladyslav Rybachok</t>
  </si>
  <si>
    <t>Mykhailo</t>
  </si>
  <si>
    <t>Plokhotniuk</t>
  </si>
  <si>
    <t>Mykhailo Plokhotniuk</t>
  </si>
  <si>
    <t>Imre</t>
  </si>
  <si>
    <t>Korsen</t>
  </si>
  <si>
    <t>Imre Korsen</t>
  </si>
  <si>
    <t>Veiko</t>
  </si>
  <si>
    <t>Ristissaar</t>
  </si>
  <si>
    <t>Veiko Ristissaar</t>
  </si>
  <si>
    <t>Eduard</t>
  </si>
  <si>
    <t>Virkunen</t>
  </si>
  <si>
    <t>Eduard Virkunen</t>
  </si>
  <si>
    <t>Keit</t>
  </si>
  <si>
    <t>Reinsalu</t>
  </si>
  <si>
    <t>Keit Reinsalu</t>
  </si>
  <si>
    <t>Kalju</t>
  </si>
  <si>
    <t>Kalda</t>
  </si>
  <si>
    <t>Kalju Kalda</t>
  </si>
  <si>
    <t>Reino</t>
  </si>
  <si>
    <t>Reino Ristissaar</t>
  </si>
  <si>
    <t>Jimmy</t>
  </si>
  <si>
    <t>Lindborg</t>
  </si>
  <si>
    <t>Jimmy Lindborg</t>
  </si>
  <si>
    <t>Ain</t>
  </si>
  <si>
    <t>Raid</t>
  </si>
  <si>
    <t>Ain Raid</t>
  </si>
  <si>
    <t>Heikki</t>
  </si>
  <si>
    <t>Sool</t>
  </si>
  <si>
    <t>Heikki Sool</t>
  </si>
  <si>
    <t>Kalle</t>
  </si>
  <si>
    <t>Kuuspalu</t>
  </si>
  <si>
    <t>Kalle Kuuspalu</t>
  </si>
  <si>
    <t>Raigo</t>
  </si>
  <si>
    <t>Rommot</t>
  </si>
  <si>
    <t>Raigo Rommot</t>
  </si>
  <si>
    <t>Marko</t>
  </si>
  <si>
    <t>Perendi</t>
  </si>
  <si>
    <t>Marko Perendi</t>
  </si>
  <si>
    <t>Taavi</t>
  </si>
  <si>
    <t>Miku</t>
  </si>
  <si>
    <t>Taavi Miku</t>
  </si>
  <si>
    <t>Alex</t>
  </si>
  <si>
    <t>Rahuoja</t>
  </si>
  <si>
    <t>Alex Rahuoja</t>
  </si>
  <si>
    <t>Arvi</t>
  </si>
  <si>
    <t>Merigan</t>
  </si>
  <si>
    <t>Arvi Merigan</t>
  </si>
  <si>
    <t>Tõnu</t>
  </si>
  <si>
    <t>Hansar</t>
  </si>
  <si>
    <t>Tõnu Hansar</t>
  </si>
  <si>
    <t>Hannes</t>
  </si>
  <si>
    <t>Lepik</t>
  </si>
  <si>
    <t>Hannes Lepik</t>
  </si>
  <si>
    <t>Raivo</t>
  </si>
  <si>
    <t>Roots</t>
  </si>
  <si>
    <t>Raivo Roots</t>
  </si>
  <si>
    <t>Joosep</t>
  </si>
  <si>
    <t>Joosep Hansar</t>
  </si>
  <si>
    <t>Heiki</t>
  </si>
  <si>
    <t>Heiki Hansar</t>
  </si>
  <si>
    <t>Anatoli</t>
  </si>
  <si>
    <t>Zapunov</t>
  </si>
  <si>
    <t>Anatoli Zapunov</t>
  </si>
  <si>
    <t>Aivar</t>
  </si>
  <si>
    <t>Soo</t>
  </si>
  <si>
    <t>Aivar Soo</t>
  </si>
  <si>
    <t>Taivo</t>
  </si>
  <si>
    <t>Koitla</t>
  </si>
  <si>
    <t>Taivo Koitla</t>
  </si>
  <si>
    <t>Jako</t>
  </si>
  <si>
    <t>Lill</t>
  </si>
  <si>
    <t>Jako Lill</t>
  </si>
  <si>
    <t>Bye</t>
  </si>
  <si>
    <t>Bye Bye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</si>
</sst>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Jah&quot;;&quot;Jah&quot;;&quot;Ei&quot;"/>
    <numFmt numFmtId="171" formatCode="&quot;Tõene&quot;;&quot;Tõene&quot;;&quot;Väär&quot;"/>
    <numFmt numFmtId="172" formatCode="&quot;Sees&quot;;&quot;Sees&quot;;&quot;Väljas&quot;"/>
  </numFmts>
  <fonts count="51">
    <font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6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8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23" borderId="3" applyNumberFormat="0" applyAlignment="0" applyProtection="0"/>
    <xf numFmtId="0" fontId="40" fillId="0" borderId="4" applyNumberFormat="0" applyFill="0" applyAlignment="0" applyProtection="0"/>
    <xf numFmtId="0" fontId="0" fillId="24" borderId="5" applyNumberFormat="0" applyFont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20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16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1" fillId="33" borderId="17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49" fontId="11" fillId="0" borderId="0" xfId="0" applyNumberFormat="1" applyFont="1" applyAlignment="1" applyProtection="1">
      <alignment/>
      <protection locked="0"/>
    </xf>
    <xf numFmtId="49" fontId="12" fillId="0" borderId="0" xfId="0" applyNumberFormat="1" applyFont="1" applyAlignment="1" applyProtection="1">
      <alignment/>
      <protection locked="0"/>
    </xf>
    <xf numFmtId="0" fontId="11" fillId="33" borderId="18" xfId="0" applyFont="1" applyFill="1" applyBorder="1" applyAlignment="1" applyProtection="1">
      <alignment/>
      <protection locked="0"/>
    </xf>
    <xf numFmtId="14" fontId="11" fillId="0" borderId="0" xfId="0" applyNumberFormat="1" applyFont="1" applyAlignment="1" applyProtection="1">
      <alignment/>
      <protection locked="0"/>
    </xf>
    <xf numFmtId="0" fontId="0" fillId="0" borderId="0" xfId="0" applyNumberFormat="1" applyAlignment="1">
      <alignment horizontal="center"/>
    </xf>
    <xf numFmtId="0" fontId="7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1" fillId="33" borderId="18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NumberFormat="1" applyFont="1" applyAlignment="1" applyProtection="1">
      <alignment/>
      <protection locked="0"/>
    </xf>
    <xf numFmtId="49" fontId="14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0" fillId="34" borderId="0" xfId="0" applyFont="1" applyFill="1" applyAlignment="1">
      <alignment vertical="center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A4A4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99"/>
  <sheetViews>
    <sheetView zoomScalePageLayoutView="0" workbookViewId="0" topLeftCell="A1">
      <selection activeCell="M19" sqref="M19"/>
    </sheetView>
  </sheetViews>
  <sheetFormatPr defaultColWidth="9.140625" defaultRowHeight="12.75"/>
  <cols>
    <col min="2" max="2" width="11.8515625" style="0" bestFit="1" customWidth="1"/>
    <col min="3" max="3" width="11.28125" style="1" bestFit="1" customWidth="1"/>
    <col min="4" max="4" width="19.00390625" style="0" bestFit="1" customWidth="1"/>
    <col min="7" max="7" width="10.421875" style="0" bestFit="1" customWidth="1"/>
  </cols>
  <sheetData>
    <row r="1" spans="1:3" ht="12.75">
      <c r="A1" s="2"/>
      <c r="B1" s="2"/>
      <c r="C1" s="2"/>
    </row>
    <row r="2" spans="1:8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91</v>
      </c>
      <c r="F2" s="2" t="s">
        <v>4</v>
      </c>
      <c r="G2" s="45" t="s">
        <v>108</v>
      </c>
      <c r="H2" s="45" t="s">
        <v>109</v>
      </c>
    </row>
    <row r="3" spans="1:8" ht="12.75">
      <c r="A3">
        <v>1</v>
      </c>
      <c r="B3" s="71" t="s">
        <v>110</v>
      </c>
      <c r="C3" s="71" t="s">
        <v>111</v>
      </c>
      <c r="D3" s="71" t="s">
        <v>112</v>
      </c>
      <c r="E3" s="71">
        <v>204</v>
      </c>
      <c r="F3">
        <v>1</v>
      </c>
      <c r="G3" s="47"/>
      <c r="H3" s="47"/>
    </row>
    <row r="4" spans="1:8" ht="12.75">
      <c r="A4">
        <v>2</v>
      </c>
      <c r="B4" s="71" t="s">
        <v>113</v>
      </c>
      <c r="C4" s="71" t="s">
        <v>114</v>
      </c>
      <c r="D4" s="71" t="s">
        <v>115</v>
      </c>
      <c r="E4" s="71">
        <v>7445</v>
      </c>
      <c r="F4">
        <v>2</v>
      </c>
      <c r="G4" s="47"/>
      <c r="H4" s="47"/>
    </row>
    <row r="5" spans="1:8" ht="12.75">
      <c r="A5">
        <v>3</v>
      </c>
      <c r="B5" s="71" t="s">
        <v>116</v>
      </c>
      <c r="C5" s="71" t="s">
        <v>117</v>
      </c>
      <c r="D5" s="71" t="s">
        <v>118</v>
      </c>
      <c r="E5" s="71">
        <v>263</v>
      </c>
      <c r="F5">
        <v>3</v>
      </c>
      <c r="G5" s="47"/>
      <c r="H5" s="47"/>
    </row>
    <row r="6" spans="1:8" ht="12.75">
      <c r="A6">
        <v>4</v>
      </c>
      <c r="B6" s="71" t="s">
        <v>119</v>
      </c>
      <c r="C6" s="71" t="s">
        <v>120</v>
      </c>
      <c r="D6" s="71" t="s">
        <v>121</v>
      </c>
      <c r="E6" s="71">
        <v>8178</v>
      </c>
      <c r="F6">
        <v>4</v>
      </c>
      <c r="G6" s="47"/>
      <c r="H6" s="47"/>
    </row>
    <row r="7" spans="1:8" ht="12.75">
      <c r="A7">
        <v>5</v>
      </c>
      <c r="B7" s="71" t="s">
        <v>122</v>
      </c>
      <c r="C7" s="71" t="s">
        <v>123</v>
      </c>
      <c r="D7" s="71" t="s">
        <v>124</v>
      </c>
      <c r="E7" s="71">
        <v>10100</v>
      </c>
      <c r="F7">
        <v>5</v>
      </c>
      <c r="G7" s="47"/>
      <c r="H7" s="47"/>
    </row>
    <row r="8" spans="1:8" ht="12.75">
      <c r="A8">
        <v>6</v>
      </c>
      <c r="B8" s="71" t="s">
        <v>125</v>
      </c>
      <c r="C8" s="71" t="s">
        <v>126</v>
      </c>
      <c r="D8" s="71" t="s">
        <v>127</v>
      </c>
      <c r="E8" s="71"/>
      <c r="F8">
        <v>6</v>
      </c>
      <c r="G8" s="47"/>
      <c r="H8" s="47"/>
    </row>
    <row r="9" spans="1:8" ht="12.75">
      <c r="A9">
        <v>7</v>
      </c>
      <c r="B9" s="71" t="s">
        <v>128</v>
      </c>
      <c r="C9" s="71" t="s">
        <v>129</v>
      </c>
      <c r="D9" s="71" t="s">
        <v>130</v>
      </c>
      <c r="E9" s="71">
        <v>441</v>
      </c>
      <c r="F9">
        <v>7</v>
      </c>
      <c r="G9" s="47"/>
      <c r="H9" s="47"/>
    </row>
    <row r="10" spans="1:8" ht="12.75">
      <c r="A10">
        <v>8</v>
      </c>
      <c r="B10" s="71" t="s">
        <v>131</v>
      </c>
      <c r="C10" s="71" t="s">
        <v>132</v>
      </c>
      <c r="D10" s="71" t="s">
        <v>133</v>
      </c>
      <c r="E10" s="71">
        <v>1227</v>
      </c>
      <c r="F10">
        <v>8</v>
      </c>
      <c r="G10" s="47"/>
      <c r="H10" s="47"/>
    </row>
    <row r="11" spans="1:8" ht="12.75">
      <c r="A11">
        <v>9</v>
      </c>
      <c r="B11" s="71" t="s">
        <v>134</v>
      </c>
      <c r="C11" s="71" t="s">
        <v>135</v>
      </c>
      <c r="D11" s="71" t="s">
        <v>136</v>
      </c>
      <c r="E11" s="71">
        <v>4859</v>
      </c>
      <c r="F11">
        <v>9</v>
      </c>
      <c r="G11" s="47"/>
      <c r="H11" s="47"/>
    </row>
    <row r="12" spans="1:8" ht="12.75">
      <c r="A12">
        <v>10</v>
      </c>
      <c r="B12" s="71" t="s">
        <v>137</v>
      </c>
      <c r="C12" s="71" t="s">
        <v>138</v>
      </c>
      <c r="D12" s="71" t="s">
        <v>139</v>
      </c>
      <c r="E12" s="71">
        <v>3446</v>
      </c>
      <c r="F12">
        <v>10</v>
      </c>
      <c r="G12" s="47"/>
      <c r="H12" s="47"/>
    </row>
    <row r="13" spans="1:8" ht="12.75">
      <c r="A13">
        <v>11</v>
      </c>
      <c r="B13" s="71" t="s">
        <v>140</v>
      </c>
      <c r="C13" s="71" t="s">
        <v>141</v>
      </c>
      <c r="D13" s="71" t="s">
        <v>142</v>
      </c>
      <c r="E13" s="71">
        <v>346</v>
      </c>
      <c r="F13">
        <v>11</v>
      </c>
      <c r="G13" s="47"/>
      <c r="H13" s="47"/>
    </row>
    <row r="14" spans="1:8" ht="12.75">
      <c r="A14">
        <v>12</v>
      </c>
      <c r="B14" s="71" t="s">
        <v>143</v>
      </c>
      <c r="C14" s="71" t="s">
        <v>132</v>
      </c>
      <c r="D14" s="71" t="s">
        <v>144</v>
      </c>
      <c r="E14" s="71">
        <v>1228</v>
      </c>
      <c r="F14">
        <v>12</v>
      </c>
      <c r="G14" s="47"/>
      <c r="H14" s="47"/>
    </row>
    <row r="15" spans="1:8" ht="12.75">
      <c r="A15">
        <v>13</v>
      </c>
      <c r="B15" s="71" t="s">
        <v>145</v>
      </c>
      <c r="C15" s="71" t="s">
        <v>146</v>
      </c>
      <c r="D15" s="71" t="s">
        <v>147</v>
      </c>
      <c r="E15" s="71">
        <v>9633</v>
      </c>
      <c r="F15">
        <v>13</v>
      </c>
      <c r="G15" s="47"/>
      <c r="H15" s="47"/>
    </row>
    <row r="16" spans="1:8" ht="12.75">
      <c r="A16">
        <v>14</v>
      </c>
      <c r="B16" s="71" t="s">
        <v>148</v>
      </c>
      <c r="C16" s="71" t="s">
        <v>149</v>
      </c>
      <c r="D16" s="71" t="s">
        <v>150</v>
      </c>
      <c r="E16" s="71">
        <v>7472</v>
      </c>
      <c r="F16">
        <v>14</v>
      </c>
      <c r="G16" s="47"/>
      <c r="H16" s="47"/>
    </row>
    <row r="17" spans="1:8" ht="12.75">
      <c r="A17">
        <v>15</v>
      </c>
      <c r="B17" s="71" t="s">
        <v>151</v>
      </c>
      <c r="C17" s="71" t="s">
        <v>152</v>
      </c>
      <c r="D17" s="71" t="s">
        <v>153</v>
      </c>
      <c r="E17" s="71">
        <v>1166</v>
      </c>
      <c r="F17">
        <v>15</v>
      </c>
      <c r="G17" s="47"/>
      <c r="H17" s="47"/>
    </row>
    <row r="18" spans="1:8" ht="12.75">
      <c r="A18">
        <v>16</v>
      </c>
      <c r="B18" s="71" t="s">
        <v>154</v>
      </c>
      <c r="C18" s="71" t="s">
        <v>155</v>
      </c>
      <c r="D18" s="71" t="s">
        <v>156</v>
      </c>
      <c r="E18" s="71">
        <v>7299</v>
      </c>
      <c r="F18">
        <v>16</v>
      </c>
      <c r="G18" s="47"/>
      <c r="H18" s="47"/>
    </row>
    <row r="19" spans="1:8" ht="12.75">
      <c r="A19">
        <v>17</v>
      </c>
      <c r="B19" s="71" t="s">
        <v>157</v>
      </c>
      <c r="C19" s="71" t="s">
        <v>158</v>
      </c>
      <c r="D19" s="71" t="s">
        <v>159</v>
      </c>
      <c r="E19" s="71">
        <v>7194</v>
      </c>
      <c r="F19">
        <v>17</v>
      </c>
      <c r="G19" s="47"/>
      <c r="H19" s="47"/>
    </row>
    <row r="20" spans="1:8" ht="12.75">
      <c r="A20">
        <v>18</v>
      </c>
      <c r="B20" s="71" t="s">
        <v>160</v>
      </c>
      <c r="C20" s="71" t="s">
        <v>161</v>
      </c>
      <c r="D20" s="71" t="s">
        <v>162</v>
      </c>
      <c r="E20" s="71">
        <v>1080</v>
      </c>
      <c r="F20">
        <v>18</v>
      </c>
      <c r="G20" s="47"/>
      <c r="H20" s="47"/>
    </row>
    <row r="21" spans="1:8" ht="12.75">
      <c r="A21">
        <v>19</v>
      </c>
      <c r="B21" s="71" t="s">
        <v>163</v>
      </c>
      <c r="C21" s="71" t="s">
        <v>164</v>
      </c>
      <c r="D21" s="71" t="s">
        <v>165</v>
      </c>
      <c r="E21" s="71">
        <v>8281</v>
      </c>
      <c r="F21">
        <v>19</v>
      </c>
      <c r="G21" s="47"/>
      <c r="H21" s="47"/>
    </row>
    <row r="22" spans="1:8" ht="12.75">
      <c r="A22">
        <v>20</v>
      </c>
      <c r="B22" s="71" t="s">
        <v>166</v>
      </c>
      <c r="C22" s="71" t="s">
        <v>167</v>
      </c>
      <c r="D22" s="71" t="s">
        <v>168</v>
      </c>
      <c r="E22" s="71">
        <v>9464</v>
      </c>
      <c r="F22">
        <v>20</v>
      </c>
      <c r="G22" s="47"/>
      <c r="H22" s="47"/>
    </row>
    <row r="23" spans="1:8" ht="12.75">
      <c r="A23">
        <v>21</v>
      </c>
      <c r="B23" s="71" t="s">
        <v>169</v>
      </c>
      <c r="C23" s="71" t="s">
        <v>170</v>
      </c>
      <c r="D23" s="71" t="s">
        <v>171</v>
      </c>
      <c r="E23" s="71">
        <v>8207</v>
      </c>
      <c r="F23">
        <v>21</v>
      </c>
      <c r="G23" s="47"/>
      <c r="H23" s="47"/>
    </row>
    <row r="24" spans="1:8" ht="12.75">
      <c r="A24">
        <v>22</v>
      </c>
      <c r="B24" s="71" t="s">
        <v>172</v>
      </c>
      <c r="C24" s="71" t="s">
        <v>173</v>
      </c>
      <c r="D24" s="71" t="s">
        <v>174</v>
      </c>
      <c r="E24" s="71">
        <v>1684</v>
      </c>
      <c r="F24">
        <v>22</v>
      </c>
      <c r="G24" s="47"/>
      <c r="H24" s="47"/>
    </row>
    <row r="25" spans="1:8" ht="12.75">
      <c r="A25">
        <v>23</v>
      </c>
      <c r="B25" s="71" t="s">
        <v>175</v>
      </c>
      <c r="C25" s="71" t="s">
        <v>176</v>
      </c>
      <c r="D25" s="71" t="s">
        <v>177</v>
      </c>
      <c r="E25" s="71">
        <v>9400</v>
      </c>
      <c r="F25">
        <v>23</v>
      </c>
      <c r="G25" s="47"/>
      <c r="H25" s="47"/>
    </row>
    <row r="26" spans="1:8" ht="12.75">
      <c r="A26">
        <v>24</v>
      </c>
      <c r="B26" s="71" t="s">
        <v>178</v>
      </c>
      <c r="C26" s="71" t="s">
        <v>179</v>
      </c>
      <c r="D26" s="71" t="s">
        <v>180</v>
      </c>
      <c r="E26" s="71">
        <v>3451</v>
      </c>
      <c r="F26">
        <v>24</v>
      </c>
      <c r="G26" s="47"/>
      <c r="H26" s="47"/>
    </row>
    <row r="27" spans="1:8" ht="12.75">
      <c r="A27">
        <v>25</v>
      </c>
      <c r="B27" s="71" t="s">
        <v>181</v>
      </c>
      <c r="C27" s="71" t="s">
        <v>173</v>
      </c>
      <c r="D27" s="71" t="s">
        <v>182</v>
      </c>
      <c r="E27" s="71">
        <v>2100</v>
      </c>
      <c r="F27">
        <v>25</v>
      </c>
      <c r="G27" s="47"/>
      <c r="H27" s="47"/>
    </row>
    <row r="28" spans="1:8" ht="12.75">
      <c r="A28">
        <v>26</v>
      </c>
      <c r="B28" s="71" t="s">
        <v>183</v>
      </c>
      <c r="C28" s="71" t="s">
        <v>173</v>
      </c>
      <c r="D28" s="71" t="s">
        <v>184</v>
      </c>
      <c r="E28" s="71">
        <v>299</v>
      </c>
      <c r="F28">
        <v>26</v>
      </c>
      <c r="G28" s="47"/>
      <c r="H28" s="47"/>
    </row>
    <row r="29" spans="1:8" ht="12.75">
      <c r="A29">
        <v>27</v>
      </c>
      <c r="B29" s="71" t="s">
        <v>185</v>
      </c>
      <c r="C29" s="71" t="s">
        <v>186</v>
      </c>
      <c r="D29" s="71" t="s">
        <v>187</v>
      </c>
      <c r="E29" s="71">
        <v>10639</v>
      </c>
      <c r="F29">
        <v>27</v>
      </c>
      <c r="G29" s="47"/>
      <c r="H29" s="47"/>
    </row>
    <row r="30" spans="1:8" ht="12.75">
      <c r="A30">
        <v>28</v>
      </c>
      <c r="B30" s="71" t="s">
        <v>188</v>
      </c>
      <c r="C30" s="71" t="s">
        <v>189</v>
      </c>
      <c r="D30" s="71" t="s">
        <v>190</v>
      </c>
      <c r="E30" s="71">
        <v>10411</v>
      </c>
      <c r="F30">
        <v>28</v>
      </c>
      <c r="G30" s="47"/>
      <c r="H30" s="47"/>
    </row>
    <row r="31" spans="1:8" ht="12.75">
      <c r="A31">
        <v>29</v>
      </c>
      <c r="B31" s="71" t="s">
        <v>191</v>
      </c>
      <c r="C31" s="71" t="s">
        <v>192</v>
      </c>
      <c r="D31" s="71" t="s">
        <v>193</v>
      </c>
      <c r="E31" s="71">
        <v>8740</v>
      </c>
      <c r="F31">
        <v>29</v>
      </c>
      <c r="G31" s="47"/>
      <c r="H31" s="47"/>
    </row>
    <row r="32" spans="1:8" ht="12.75">
      <c r="A32">
        <v>30</v>
      </c>
      <c r="B32" s="71" t="s">
        <v>194</v>
      </c>
      <c r="C32" s="71" t="s">
        <v>195</v>
      </c>
      <c r="D32" s="71" t="s">
        <v>196</v>
      </c>
      <c r="E32" s="71">
        <v>10412</v>
      </c>
      <c r="F32">
        <v>30</v>
      </c>
      <c r="G32" s="47"/>
      <c r="H32" s="47"/>
    </row>
    <row r="33" spans="1:8" ht="12.75">
      <c r="A33">
        <v>31</v>
      </c>
      <c r="B33" s="71" t="s">
        <v>197</v>
      </c>
      <c r="C33" s="71" t="s">
        <v>197</v>
      </c>
      <c r="D33" s="71" t="s">
        <v>198</v>
      </c>
      <c r="E33" s="71">
        <v>0</v>
      </c>
      <c r="F33">
        <v>31</v>
      </c>
      <c r="G33" s="47"/>
      <c r="H33" s="47"/>
    </row>
    <row r="34" spans="1:8" ht="12.75">
      <c r="A34">
        <v>32</v>
      </c>
      <c r="B34" s="71" t="s">
        <v>197</v>
      </c>
      <c r="C34" s="71" t="s">
        <v>197</v>
      </c>
      <c r="D34" s="71" t="s">
        <v>198</v>
      </c>
      <c r="E34" s="71">
        <v>0</v>
      </c>
      <c r="F34">
        <v>32</v>
      </c>
      <c r="G34" s="47"/>
      <c r="H34" s="47"/>
    </row>
    <row r="35" ht="12.75">
      <c r="C35"/>
    </row>
    <row r="36" spans="1:3" ht="12.75">
      <c r="A36" s="2"/>
      <c r="B36" s="3"/>
      <c r="C36" s="3"/>
    </row>
    <row r="37" spans="1:3" ht="12.75">
      <c r="A37" s="2"/>
      <c r="B37" s="3"/>
      <c r="C37" s="3"/>
    </row>
    <row r="38" spans="1:3" ht="12.75">
      <c r="A38" s="2"/>
      <c r="B38" s="3"/>
      <c r="C38" s="3"/>
    </row>
    <row r="39" spans="1:3" ht="12.75">
      <c r="A39" s="2"/>
      <c r="B39" s="3"/>
      <c r="C39" s="3"/>
    </row>
    <row r="40" spans="1:3" ht="12.75">
      <c r="A40" s="2"/>
      <c r="B40" s="3"/>
      <c r="C40" s="3"/>
    </row>
    <row r="41" spans="1:3" ht="12.75">
      <c r="A41" s="2"/>
      <c r="B41" s="3"/>
      <c r="C41" s="3"/>
    </row>
    <row r="42" spans="1:3" ht="12.75">
      <c r="A42" s="2"/>
      <c r="B42" s="3"/>
      <c r="C42" s="3"/>
    </row>
    <row r="43" spans="1:3" ht="12.75">
      <c r="A43" s="2"/>
      <c r="B43" s="3"/>
      <c r="C43" s="3"/>
    </row>
    <row r="44" spans="1:3" ht="12.75">
      <c r="A44" s="2"/>
      <c r="B44" s="3"/>
      <c r="C44" s="3"/>
    </row>
    <row r="45" spans="1:3" ht="12.75">
      <c r="A45" s="2"/>
      <c r="B45" s="3"/>
      <c r="C45" s="3"/>
    </row>
    <row r="46" spans="1:3" ht="12.75">
      <c r="A46" s="2"/>
      <c r="B46" s="3"/>
      <c r="C46" s="3"/>
    </row>
    <row r="47" spans="1:3" ht="12.75">
      <c r="A47" s="2"/>
      <c r="B47" s="3"/>
      <c r="C47" s="3"/>
    </row>
    <row r="48" spans="1:3" ht="12.75">
      <c r="A48" s="2"/>
      <c r="B48" s="3"/>
      <c r="C48" s="3"/>
    </row>
    <row r="49" spans="1:3" ht="12.75">
      <c r="A49" s="2"/>
      <c r="B49" s="3"/>
      <c r="C49" s="3"/>
    </row>
    <row r="50" spans="1:3" ht="12.75">
      <c r="A50" s="2"/>
      <c r="B50" s="3"/>
      <c r="C50" s="3"/>
    </row>
    <row r="51" spans="1:3" ht="12.75">
      <c r="A51" s="2"/>
      <c r="B51" s="3"/>
      <c r="C51" s="3"/>
    </row>
    <row r="52" spans="1:3" ht="12.75">
      <c r="A52" s="2"/>
      <c r="B52" s="3"/>
      <c r="C52" s="3"/>
    </row>
    <row r="53" spans="1:3" ht="12.75">
      <c r="A53" s="2"/>
      <c r="B53" s="3"/>
      <c r="C53" s="3"/>
    </row>
    <row r="54" spans="1:3" ht="12.75">
      <c r="A54" s="2"/>
      <c r="B54" s="3"/>
      <c r="C54" s="3"/>
    </row>
    <row r="55" spans="1:3" ht="12.75">
      <c r="A55" s="2"/>
      <c r="B55" s="3"/>
      <c r="C55" s="3"/>
    </row>
    <row r="56" spans="1:3" ht="12.75">
      <c r="A56" s="2"/>
      <c r="B56" s="3"/>
      <c r="C56" s="3"/>
    </row>
    <row r="57" spans="1:3" ht="12.75">
      <c r="A57" s="2"/>
      <c r="B57" s="3"/>
      <c r="C57" s="3"/>
    </row>
    <row r="58" spans="1:3" ht="12.75">
      <c r="A58" s="2"/>
      <c r="B58" s="3"/>
      <c r="C58" s="3"/>
    </row>
    <row r="59" spans="1:3" ht="12.75">
      <c r="A59" s="2"/>
      <c r="B59" s="3"/>
      <c r="C59" s="3"/>
    </row>
    <row r="60" spans="1:3" ht="12.75">
      <c r="A60" s="2"/>
      <c r="B60" s="3"/>
      <c r="C60" s="3"/>
    </row>
    <row r="61" spans="1:3" ht="12.75">
      <c r="A61" s="2"/>
      <c r="B61" s="3"/>
      <c r="C61" s="3"/>
    </row>
    <row r="62" spans="1:3" ht="12.75">
      <c r="A62" s="2"/>
      <c r="B62" s="3"/>
      <c r="C62" s="3"/>
    </row>
    <row r="63" spans="1:3" ht="12.75">
      <c r="A63" s="2"/>
      <c r="B63" s="3"/>
      <c r="C63" s="3"/>
    </row>
    <row r="64" spans="1:3" ht="12.75">
      <c r="A64" s="2"/>
      <c r="B64" s="3"/>
      <c r="C64" s="3"/>
    </row>
    <row r="65" spans="1:3" ht="12.75">
      <c r="A65" s="2"/>
      <c r="B65" s="3"/>
      <c r="C65" s="3"/>
    </row>
    <row r="66" spans="1:3" ht="12.75">
      <c r="A66" s="2"/>
      <c r="B66" s="3"/>
      <c r="C66" s="3"/>
    </row>
    <row r="67" spans="1:3" ht="12.75">
      <c r="A67" s="3"/>
      <c r="B67" s="3"/>
      <c r="C67" s="3"/>
    </row>
    <row r="68" spans="1:3" ht="12.75">
      <c r="A68" s="3"/>
      <c r="B68" s="3"/>
      <c r="C68" s="3"/>
    </row>
    <row r="69" spans="1:3" ht="12.75">
      <c r="A69" s="3"/>
      <c r="B69" s="3"/>
      <c r="C69" s="3"/>
    </row>
    <row r="70" spans="1:3" ht="12.75">
      <c r="A70" s="3"/>
      <c r="B70" s="3"/>
      <c r="C70" s="3"/>
    </row>
    <row r="71" spans="1:3" ht="12.75">
      <c r="A71" s="3"/>
      <c r="B71" s="3"/>
      <c r="C71" s="3"/>
    </row>
    <row r="72" spans="1:3" ht="12.75">
      <c r="A72" s="3"/>
      <c r="B72" s="3"/>
      <c r="C72" s="3"/>
    </row>
    <row r="73" spans="1:3" ht="12.75">
      <c r="A73" s="3"/>
      <c r="B73" s="3"/>
      <c r="C73" s="3"/>
    </row>
    <row r="74" spans="1:3" ht="12.75">
      <c r="A74" s="3"/>
      <c r="B74" s="3"/>
      <c r="C74" s="3"/>
    </row>
    <row r="75" spans="1:3" ht="12.75">
      <c r="A75" s="3"/>
      <c r="B75" s="3"/>
      <c r="C75" s="3"/>
    </row>
    <row r="76" spans="1:3" ht="12.75">
      <c r="A76" s="3"/>
      <c r="B76" s="3"/>
      <c r="C76" s="3"/>
    </row>
    <row r="77" spans="1:3" ht="12.75">
      <c r="A77" s="3"/>
      <c r="B77" s="3"/>
      <c r="C77" s="3"/>
    </row>
    <row r="78" spans="1:3" ht="12.75">
      <c r="A78" s="3"/>
      <c r="B78" s="3"/>
      <c r="C78" s="3"/>
    </row>
    <row r="79" spans="1:3" ht="12.75">
      <c r="A79" s="3"/>
      <c r="B79" s="3"/>
      <c r="C79" s="3"/>
    </row>
    <row r="80" spans="1:3" ht="12.75">
      <c r="A80" s="3"/>
      <c r="B80" s="3"/>
      <c r="C80" s="3"/>
    </row>
    <row r="81" spans="1:3" ht="12.75">
      <c r="A81" s="3"/>
      <c r="B81" s="3"/>
      <c r="C81" s="3"/>
    </row>
    <row r="82" spans="1:3" ht="12.75">
      <c r="A82" s="3"/>
      <c r="B82" s="3"/>
      <c r="C82" s="3"/>
    </row>
    <row r="83" spans="1:3" ht="12.75">
      <c r="A83" s="3"/>
      <c r="B83" s="3"/>
      <c r="C83" s="3"/>
    </row>
    <row r="84" spans="1:3" ht="12.75">
      <c r="A84" s="3"/>
      <c r="B84" s="3"/>
      <c r="C84" s="3"/>
    </row>
    <row r="85" spans="1:3" ht="12.75">
      <c r="A85" s="3"/>
      <c r="B85" s="3"/>
      <c r="C85" s="3"/>
    </row>
    <row r="86" spans="1:3" ht="12.75">
      <c r="A86" s="3"/>
      <c r="B86" s="3"/>
      <c r="C86" s="3"/>
    </row>
    <row r="87" spans="1:3" ht="12.75">
      <c r="A87" s="3"/>
      <c r="B87" s="3"/>
      <c r="C87" s="3"/>
    </row>
    <row r="88" spans="1:3" ht="12.75">
      <c r="A88" s="3"/>
      <c r="B88" s="3"/>
      <c r="C88" s="3"/>
    </row>
    <row r="89" spans="1:3" ht="12.75">
      <c r="A89" s="3"/>
      <c r="B89" s="3"/>
      <c r="C89" s="3"/>
    </row>
    <row r="90" spans="1:3" ht="12.75">
      <c r="A90" s="3"/>
      <c r="B90" s="3"/>
      <c r="C90" s="3"/>
    </row>
    <row r="91" spans="1:3" ht="12.75">
      <c r="A91" s="3"/>
      <c r="B91" s="3"/>
      <c r="C91" s="3"/>
    </row>
    <row r="92" spans="1:3" ht="12.75">
      <c r="A92" s="3"/>
      <c r="B92" s="3"/>
      <c r="C92" s="3"/>
    </row>
    <row r="93" spans="1:3" ht="12.75">
      <c r="A93" s="3"/>
      <c r="B93" s="3"/>
      <c r="C93" s="3"/>
    </row>
    <row r="94" spans="1:3" ht="12.75">
      <c r="A94" s="3"/>
      <c r="B94" s="3"/>
      <c r="C94" s="3"/>
    </row>
    <row r="95" spans="1:3" ht="12.75">
      <c r="A95" s="3"/>
      <c r="B95" s="3"/>
      <c r="C95" s="3"/>
    </row>
    <row r="96" spans="1:3" ht="12.75">
      <c r="A96" s="3"/>
      <c r="B96" s="3"/>
      <c r="C96" s="3"/>
    </row>
    <row r="97" spans="1:3" ht="12.75">
      <c r="A97" s="3"/>
      <c r="B97" s="3"/>
      <c r="C97" s="3"/>
    </row>
    <row r="98" spans="1:3" ht="12.75">
      <c r="A98" s="3"/>
      <c r="B98" s="3"/>
      <c r="C98" s="3"/>
    </row>
    <row r="99" spans="1:3" ht="12.75">
      <c r="A99" s="3"/>
      <c r="B99" s="3"/>
      <c r="C99" s="3"/>
    </row>
    <row r="100" spans="1:3" ht="12.75">
      <c r="A100" s="3"/>
      <c r="B100" s="3"/>
      <c r="C100" s="3"/>
    </row>
    <row r="101" spans="1:3" ht="12.75">
      <c r="A101" s="3"/>
      <c r="B101" s="3"/>
      <c r="C101" s="3"/>
    </row>
    <row r="102" spans="1:3" ht="12.75">
      <c r="A102" s="3"/>
      <c r="B102" s="3"/>
      <c r="C102" s="3"/>
    </row>
    <row r="103" spans="1:3" ht="12.75">
      <c r="A103" s="3"/>
      <c r="B103" s="3"/>
      <c r="C103" s="3"/>
    </row>
    <row r="104" spans="1:3" ht="12.75">
      <c r="A104" s="3"/>
      <c r="B104" s="3"/>
      <c r="C104" s="3"/>
    </row>
    <row r="105" spans="1:3" ht="12.75">
      <c r="A105" s="3"/>
      <c r="B105" s="3"/>
      <c r="C105" s="3"/>
    </row>
    <row r="106" spans="1:3" ht="12.75">
      <c r="A106" s="3"/>
      <c r="B106" s="3"/>
      <c r="C106" s="3"/>
    </row>
    <row r="107" spans="1:3" ht="12.75">
      <c r="A107" s="3"/>
      <c r="B107" s="3"/>
      <c r="C107" s="3"/>
    </row>
    <row r="108" spans="1:3" ht="12.75">
      <c r="A108" s="3"/>
      <c r="B108" s="3"/>
      <c r="C108" s="3"/>
    </row>
    <row r="109" spans="1:3" ht="12.75">
      <c r="A109" s="3"/>
      <c r="B109" s="3"/>
      <c r="C109" s="3"/>
    </row>
    <row r="110" spans="1:3" ht="12.75">
      <c r="A110" s="3"/>
      <c r="B110" s="3"/>
      <c r="C110" s="3"/>
    </row>
    <row r="111" spans="1:3" ht="12.75">
      <c r="A111" s="3"/>
      <c r="B111" s="3"/>
      <c r="C111" s="3"/>
    </row>
    <row r="112" spans="1:3" ht="12.75">
      <c r="A112" s="3"/>
      <c r="B112" s="3"/>
      <c r="C112" s="3"/>
    </row>
    <row r="113" spans="1:3" ht="12.75">
      <c r="A113" s="3"/>
      <c r="B113" s="3"/>
      <c r="C113" s="3"/>
    </row>
    <row r="114" spans="1:3" ht="12.75">
      <c r="A114" s="3"/>
      <c r="B114" s="3"/>
      <c r="C114" s="3"/>
    </row>
    <row r="115" spans="1:3" ht="12.75">
      <c r="A115" s="3"/>
      <c r="B115" s="3"/>
      <c r="C115" s="3"/>
    </row>
    <row r="116" spans="1:3" ht="12.75">
      <c r="A116" s="3"/>
      <c r="B116" s="3"/>
      <c r="C116" s="3"/>
    </row>
    <row r="117" spans="1:3" ht="12.75">
      <c r="A117" s="3"/>
      <c r="B117" s="3"/>
      <c r="C117" s="3"/>
    </row>
    <row r="118" spans="1:3" ht="12.75">
      <c r="A118" s="3"/>
      <c r="B118" s="3"/>
      <c r="C118" s="3"/>
    </row>
    <row r="119" spans="1:3" ht="12.75">
      <c r="A119" s="3"/>
      <c r="B119" s="3"/>
      <c r="C119" s="3"/>
    </row>
    <row r="120" spans="1:3" ht="12.75">
      <c r="A120" s="3"/>
      <c r="B120" s="3"/>
      <c r="C120" s="3"/>
    </row>
    <row r="121" spans="1:3" ht="12.75">
      <c r="A121" s="3"/>
      <c r="B121" s="3"/>
      <c r="C121" s="3"/>
    </row>
    <row r="122" spans="1:3" ht="12.75">
      <c r="A122" s="3"/>
      <c r="B122" s="3"/>
      <c r="C122" s="3"/>
    </row>
    <row r="123" spans="1:3" ht="12.75">
      <c r="A123" s="3"/>
      <c r="B123" s="3"/>
      <c r="C123" s="3"/>
    </row>
    <row r="124" spans="1:3" ht="12.75">
      <c r="A124" s="3"/>
      <c r="B124" s="3"/>
      <c r="C124" s="3"/>
    </row>
    <row r="125" spans="1:3" ht="12.75">
      <c r="A125" s="3"/>
      <c r="B125" s="3"/>
      <c r="C125" s="3"/>
    </row>
    <row r="126" spans="1:3" ht="12.75">
      <c r="A126" s="3"/>
      <c r="B126" s="3"/>
      <c r="C126" s="3"/>
    </row>
    <row r="127" spans="1:3" ht="12.75">
      <c r="A127" s="3"/>
      <c r="B127" s="3"/>
      <c r="C127" s="3"/>
    </row>
    <row r="128" spans="1:3" ht="12.75">
      <c r="A128" s="3"/>
      <c r="B128" s="3"/>
      <c r="C128" s="3"/>
    </row>
    <row r="129" spans="1:3" ht="12.75">
      <c r="A129" s="3"/>
      <c r="B129" s="3"/>
      <c r="C129" s="3"/>
    </row>
    <row r="130" spans="1:3" ht="12.75">
      <c r="A130" s="3"/>
      <c r="B130" s="3"/>
      <c r="C130" s="3"/>
    </row>
    <row r="131" spans="1:3" ht="12.75">
      <c r="A131" s="3"/>
      <c r="B131" s="3"/>
      <c r="C131" s="3"/>
    </row>
    <row r="132" spans="1:3" ht="12.75">
      <c r="A132" s="3"/>
      <c r="B132" s="3"/>
      <c r="C132" s="3"/>
    </row>
    <row r="133" spans="1:3" ht="12.75">
      <c r="A133" s="3"/>
      <c r="B133" s="3"/>
      <c r="C133" s="3"/>
    </row>
    <row r="134" spans="1:3" ht="12.75">
      <c r="A134" s="3"/>
      <c r="B134" s="3"/>
      <c r="C134" s="3"/>
    </row>
    <row r="135" spans="1:3" ht="12.75">
      <c r="A135" s="3"/>
      <c r="B135" s="3"/>
      <c r="C135" s="3"/>
    </row>
    <row r="136" spans="1:3" ht="12.75">
      <c r="A136" s="3"/>
      <c r="B136" s="3"/>
      <c r="C136" s="3"/>
    </row>
    <row r="137" spans="1:3" ht="12.75">
      <c r="A137" s="3"/>
      <c r="B137" s="3"/>
      <c r="C137" s="3"/>
    </row>
    <row r="138" spans="1:3" ht="12.75">
      <c r="A138" s="3"/>
      <c r="B138" s="3"/>
      <c r="C138" s="3"/>
    </row>
    <row r="139" spans="1:3" ht="12.75">
      <c r="A139" s="2"/>
      <c r="B139" s="3"/>
      <c r="C139" s="3"/>
    </row>
    <row r="140" spans="1:3" ht="12.75">
      <c r="A140" s="2"/>
      <c r="B140" s="3"/>
      <c r="C140" s="3"/>
    </row>
    <row r="141" spans="1:3" ht="12.75">
      <c r="A141" s="2"/>
      <c r="B141" s="3"/>
      <c r="C141" s="3"/>
    </row>
    <row r="142" spans="1:3" ht="12.75">
      <c r="A142" s="2"/>
      <c r="B142" s="3"/>
      <c r="C142" s="3"/>
    </row>
    <row r="143" spans="1:3" ht="12.75">
      <c r="A143" s="2"/>
      <c r="B143" s="3"/>
      <c r="C143" s="3"/>
    </row>
    <row r="144" spans="1:3" ht="12.75">
      <c r="A144" s="2"/>
      <c r="B144" s="3"/>
      <c r="C144" s="3"/>
    </row>
    <row r="145" spans="1:3" ht="12.75">
      <c r="A145" s="2"/>
      <c r="B145" s="3"/>
      <c r="C145" s="3"/>
    </row>
    <row r="146" spans="1:3" ht="12.75">
      <c r="A146" s="2"/>
      <c r="B146" s="3"/>
      <c r="C146" s="3"/>
    </row>
    <row r="147" spans="1:3" ht="12.75">
      <c r="A147" s="2"/>
      <c r="B147" s="3"/>
      <c r="C147" s="3"/>
    </row>
    <row r="148" spans="1:3" ht="12.75">
      <c r="A148" s="2"/>
      <c r="B148" s="3"/>
      <c r="C148" s="3"/>
    </row>
    <row r="149" spans="1:3" ht="12.75">
      <c r="A149" s="2"/>
      <c r="B149" s="3"/>
      <c r="C149" s="3"/>
    </row>
    <row r="150" spans="1:3" ht="12.75">
      <c r="A150" s="2"/>
      <c r="B150" s="3"/>
      <c r="C150" s="3"/>
    </row>
    <row r="151" spans="1:3" ht="12.75">
      <c r="A151" s="2"/>
      <c r="B151" s="3"/>
      <c r="C151" s="3"/>
    </row>
    <row r="152" spans="1:3" ht="12.75">
      <c r="A152" s="2"/>
      <c r="B152" s="3"/>
      <c r="C152" s="3"/>
    </row>
    <row r="153" spans="1:3" ht="12.75">
      <c r="A153" s="2"/>
      <c r="B153" s="3"/>
      <c r="C153" s="3"/>
    </row>
    <row r="154" spans="1:3" ht="12.75">
      <c r="A154" s="2"/>
      <c r="B154" s="3"/>
      <c r="C154" s="3"/>
    </row>
    <row r="155" spans="1:3" ht="12.75">
      <c r="A155" s="2"/>
      <c r="B155" s="3"/>
      <c r="C155" s="3"/>
    </row>
    <row r="156" spans="1:3" ht="12.75">
      <c r="A156" s="2"/>
      <c r="B156" s="3"/>
      <c r="C156" s="3"/>
    </row>
    <row r="157" spans="1:3" ht="12.75">
      <c r="A157" s="2"/>
      <c r="B157" s="3"/>
      <c r="C157" s="3"/>
    </row>
    <row r="158" spans="1:3" ht="12.75">
      <c r="A158" s="2"/>
      <c r="B158" s="3"/>
      <c r="C158" s="3"/>
    </row>
    <row r="159" spans="1:3" ht="12.75">
      <c r="A159" s="2"/>
      <c r="B159" s="3"/>
      <c r="C159" s="3"/>
    </row>
    <row r="160" spans="1:3" ht="12.75">
      <c r="A160" s="2"/>
      <c r="B160" s="3"/>
      <c r="C160" s="3"/>
    </row>
    <row r="161" spans="1:3" ht="12.75">
      <c r="A161" s="2"/>
      <c r="B161" s="3"/>
      <c r="C161" s="3"/>
    </row>
    <row r="162" spans="1:3" ht="12.75">
      <c r="A162" s="2"/>
      <c r="B162" s="3"/>
      <c r="C162" s="3"/>
    </row>
    <row r="163" spans="1:3" ht="12.75">
      <c r="A163" s="2"/>
      <c r="B163" s="3"/>
      <c r="C163" s="3"/>
    </row>
    <row r="164" spans="1:3" ht="12.75">
      <c r="A164" s="2"/>
      <c r="B164" s="3"/>
      <c r="C164" s="3"/>
    </row>
    <row r="165" spans="1:3" ht="12.75">
      <c r="A165" s="2"/>
      <c r="B165" s="3"/>
      <c r="C165" s="3"/>
    </row>
    <row r="166" spans="1:3" ht="12.75">
      <c r="A166" s="2"/>
      <c r="B166" s="3"/>
      <c r="C166" s="3"/>
    </row>
    <row r="167" spans="1:3" ht="12.75">
      <c r="A167" s="2"/>
      <c r="B167" s="3"/>
      <c r="C167" s="3"/>
    </row>
    <row r="168" spans="1:3" ht="12.75">
      <c r="A168" s="2"/>
      <c r="B168" s="3"/>
      <c r="C168" s="3"/>
    </row>
    <row r="169" spans="1:3" ht="12.75">
      <c r="A169" s="2"/>
      <c r="B169" s="3"/>
      <c r="C169" s="3"/>
    </row>
    <row r="170" spans="1:3" ht="12.75">
      <c r="A170" s="2"/>
      <c r="B170" s="3"/>
      <c r="C170" s="3"/>
    </row>
    <row r="171" spans="1:3" ht="12.75">
      <c r="A171" s="2"/>
      <c r="B171" s="3"/>
      <c r="C171" s="3"/>
    </row>
    <row r="172" spans="1:3" ht="12.75">
      <c r="A172" s="2"/>
      <c r="B172" s="3"/>
      <c r="C172" s="3"/>
    </row>
    <row r="173" spans="1:3" ht="12.75">
      <c r="A173" s="2"/>
      <c r="B173" s="3"/>
      <c r="C173" s="3"/>
    </row>
    <row r="174" spans="1:3" ht="12.75">
      <c r="A174" s="2"/>
      <c r="B174" s="3"/>
      <c r="C174" s="3"/>
    </row>
    <row r="175" spans="1:3" ht="12.75">
      <c r="A175" s="2"/>
      <c r="B175" s="3"/>
      <c r="C175" s="3"/>
    </row>
    <row r="176" spans="1:3" ht="12.75">
      <c r="A176" s="2"/>
      <c r="B176" s="3"/>
      <c r="C176" s="3"/>
    </row>
    <row r="177" spans="1:3" ht="12.75">
      <c r="A177" s="2"/>
      <c r="B177" s="3"/>
      <c r="C177" s="3"/>
    </row>
    <row r="178" spans="1:3" ht="12.75">
      <c r="A178" s="2"/>
      <c r="B178" s="3"/>
      <c r="C178" s="3"/>
    </row>
    <row r="179" spans="1:3" ht="12.75">
      <c r="A179" s="2"/>
      <c r="B179" s="3"/>
      <c r="C179" s="3"/>
    </row>
    <row r="180" spans="1:3" ht="12.75">
      <c r="A180" s="2"/>
      <c r="B180" s="3"/>
      <c r="C180" s="3"/>
    </row>
    <row r="181" spans="1:3" ht="12.75">
      <c r="A181" s="2"/>
      <c r="B181" s="3"/>
      <c r="C181" s="3"/>
    </row>
    <row r="182" spans="1:3" ht="12.75">
      <c r="A182" s="2"/>
      <c r="B182" s="3"/>
      <c r="C182" s="3"/>
    </row>
    <row r="183" spans="1:3" ht="12.75">
      <c r="A183" s="2"/>
      <c r="B183" s="3"/>
      <c r="C183" s="3"/>
    </row>
    <row r="184" spans="1:3" ht="12.75">
      <c r="A184" s="2"/>
      <c r="B184" s="3"/>
      <c r="C184" s="3"/>
    </row>
    <row r="185" spans="1:3" ht="12.75">
      <c r="A185" s="2"/>
      <c r="B185" s="3"/>
      <c r="C185" s="3"/>
    </row>
    <row r="186" spans="1:3" ht="12.75">
      <c r="A186" s="2"/>
      <c r="B186" s="3"/>
      <c r="C186" s="3"/>
    </row>
    <row r="187" spans="1:3" ht="12.75">
      <c r="A187" s="2"/>
      <c r="B187" s="3"/>
      <c r="C187" s="3"/>
    </row>
    <row r="188" spans="1:3" ht="12.75">
      <c r="A188" s="2"/>
      <c r="B188" s="3"/>
      <c r="C188" s="3"/>
    </row>
    <row r="189" spans="1:3" ht="12.75">
      <c r="A189" s="2"/>
      <c r="B189" s="3"/>
      <c r="C189" s="3"/>
    </row>
    <row r="190" spans="1:3" ht="12.75">
      <c r="A190" s="2"/>
      <c r="B190" s="3"/>
      <c r="C190" s="3"/>
    </row>
    <row r="191" spans="1:3" ht="12.75">
      <c r="A191" s="2"/>
      <c r="B191" s="3"/>
      <c r="C191" s="3"/>
    </row>
    <row r="192" spans="1:3" ht="12.75">
      <c r="A192" s="2"/>
      <c r="B192" s="3"/>
      <c r="C192" s="3"/>
    </row>
    <row r="193" spans="1:3" ht="12.75">
      <c r="A193" s="2"/>
      <c r="B193" s="3"/>
      <c r="C193" s="3"/>
    </row>
    <row r="194" spans="1:3" ht="12.75">
      <c r="A194" s="2"/>
      <c r="B194" s="3"/>
      <c r="C194" s="3"/>
    </row>
    <row r="195" spans="1:3" ht="12.75">
      <c r="A195" s="2"/>
      <c r="B195" s="3"/>
      <c r="C195" s="3"/>
    </row>
    <row r="196" spans="1:3" ht="12.75">
      <c r="A196" s="2"/>
      <c r="B196" s="3"/>
      <c r="C196" s="3"/>
    </row>
    <row r="197" spans="1:3" ht="12.75">
      <c r="A197" s="2"/>
      <c r="B197" s="3"/>
      <c r="C197" s="3"/>
    </row>
    <row r="198" spans="1:3" ht="12.75">
      <c r="A198" s="2"/>
      <c r="B198" s="3"/>
      <c r="C198" s="3"/>
    </row>
    <row r="199" spans="1:3" ht="12.75">
      <c r="A199" s="2"/>
      <c r="B199" s="3"/>
      <c r="C199" s="3"/>
    </row>
  </sheetData>
  <sheetProtection selectLockedCells="1" selectUnlockedCells="1"/>
  <dataValidations count="1">
    <dataValidation type="list" allowBlank="1" showInputMessage="1" showErrorMessage="1" sqref="H3:H34">
      <formula1>"ja,ei"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68"/>
  <sheetViews>
    <sheetView zoomScalePageLayoutView="0" workbookViewId="0" topLeftCell="A28">
      <selection activeCell="O49" sqref="O49"/>
    </sheetView>
  </sheetViews>
  <sheetFormatPr defaultColWidth="9.140625" defaultRowHeight="12.75"/>
  <cols>
    <col min="1" max="1" width="2.7109375" style="0" customWidth="1"/>
    <col min="2" max="18" width="5.7109375" style="0" customWidth="1"/>
    <col min="19" max="19" width="5.140625" style="0" customWidth="1"/>
    <col min="20" max="20" width="2.28125" style="0" customWidth="1"/>
  </cols>
  <sheetData>
    <row r="1" spans="1:20" ht="15">
      <c r="A1" s="62" t="s">
        <v>5</v>
      </c>
      <c r="B1" s="62"/>
      <c r="C1" s="62"/>
      <c r="D1" s="62"/>
      <c r="E1" s="62"/>
      <c r="F1" s="63"/>
      <c r="G1" s="63"/>
      <c r="H1" s="63"/>
      <c r="I1" s="63"/>
      <c r="J1" s="63"/>
      <c r="K1" s="63"/>
      <c r="L1" s="63"/>
      <c r="M1" s="63"/>
      <c r="N1" s="63"/>
      <c r="O1" s="64"/>
      <c r="P1" s="53" t="s">
        <v>6</v>
      </c>
      <c r="Q1" s="54"/>
      <c r="R1" s="54"/>
      <c r="S1" s="54"/>
      <c r="T1" s="55"/>
    </row>
    <row r="2" spans="1:20" ht="12.75">
      <c r="A2" s="65" t="s">
        <v>7</v>
      </c>
      <c r="B2" s="65"/>
      <c r="C2" s="65"/>
      <c r="D2" s="65"/>
      <c r="E2" s="65"/>
      <c r="F2" s="66"/>
      <c r="G2" s="66"/>
      <c r="H2" s="66"/>
      <c r="I2" s="66"/>
      <c r="J2" s="66"/>
      <c r="K2" s="66"/>
      <c r="L2" s="66"/>
      <c r="M2" s="66"/>
      <c r="N2" s="66"/>
      <c r="O2" s="67"/>
      <c r="P2" s="56" t="s">
        <v>8</v>
      </c>
      <c r="Q2" s="57"/>
      <c r="R2" s="57"/>
      <c r="S2" s="57"/>
      <c r="T2" s="58"/>
    </row>
    <row r="3" spans="1:20" ht="12.75">
      <c r="A3" s="4"/>
      <c r="B3" s="68"/>
      <c r="C3" s="68"/>
      <c r="D3" s="68"/>
      <c r="E3" s="5"/>
      <c r="F3" s="6"/>
      <c r="G3" s="5"/>
      <c r="H3" s="5"/>
      <c r="I3" s="5"/>
      <c r="J3" s="69"/>
      <c r="K3" s="69"/>
      <c r="L3" s="5"/>
      <c r="M3" s="5"/>
      <c r="N3" s="5"/>
      <c r="O3" s="5"/>
      <c r="P3" s="59"/>
      <c r="Q3" s="60"/>
      <c r="R3" s="60"/>
      <c r="S3" s="60"/>
      <c r="T3" s="61"/>
    </row>
    <row r="4" spans="1:20" ht="12.75">
      <c r="A4" s="52" t="s">
        <v>102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14" s="3" customFormat="1" ht="9.75">
      <c r="A5" s="7">
        <v>1</v>
      </c>
      <c r="B5" s="49" t="str">
        <f>VLOOKUP(A5,Paigutus!$A$3:$H$34,4,FALSE)</f>
        <v>Antti Luigemaa</v>
      </c>
      <c r="C5" s="49"/>
      <c r="D5" s="49"/>
      <c r="K5" s="52"/>
      <c r="L5" s="52"/>
      <c r="M5" s="52"/>
      <c r="N5" s="52"/>
    </row>
    <row r="6" spans="4:7" s="3" customFormat="1" ht="9.75">
      <c r="D6" s="8">
        <v>101</v>
      </c>
      <c r="E6" s="48" t="str">
        <f>IF(Mängud!E2="","",Mängud!E2)</f>
        <v>Antti Luigemaa</v>
      </c>
      <c r="F6" s="48"/>
      <c r="G6" s="48"/>
    </row>
    <row r="7" spans="1:7" s="3" customFormat="1" ht="9.75">
      <c r="A7" s="7">
        <v>32</v>
      </c>
      <c r="B7" s="49" t="str">
        <f>VLOOKUP(A7,Paigutus!$A$3:$H$34,4,FALSE)</f>
        <v>Bye Bye</v>
      </c>
      <c r="C7" s="49"/>
      <c r="D7" s="51"/>
      <c r="E7" s="9"/>
      <c r="F7" s="10" t="str">
        <f>IF(Mängud!F2="","",Mängud!F2)</f>
        <v>w.o.</v>
      </c>
      <c r="G7" s="8"/>
    </row>
    <row r="8" spans="7:10" s="3" customFormat="1" ht="9.75">
      <c r="G8" s="11">
        <v>117</v>
      </c>
      <c r="H8" s="48" t="str">
        <f>IF(Mängud!E18="","",Mängud!E18)</f>
        <v>Antti Luigemaa</v>
      </c>
      <c r="I8" s="48"/>
      <c r="J8" s="48"/>
    </row>
    <row r="9" spans="1:10" s="3" customFormat="1" ht="9.75">
      <c r="A9" s="7">
        <v>17</v>
      </c>
      <c r="B9" s="49" t="str">
        <f>VLOOKUP(A9,Paigutus!$A$3:$H$34,4,FALSE)</f>
        <v>Raigo Rommot</v>
      </c>
      <c r="C9" s="49"/>
      <c r="D9" s="49"/>
      <c r="G9" s="11"/>
      <c r="H9" s="9"/>
      <c r="I9" s="10" t="str">
        <f>IF(Mängud!F18="","",Mängud!F18)</f>
        <v>3:1</v>
      </c>
      <c r="J9" s="8"/>
    </row>
    <row r="10" spans="4:10" s="3" customFormat="1" ht="9.75">
      <c r="D10" s="8">
        <v>102</v>
      </c>
      <c r="E10" s="48" t="str">
        <f>IF(Mängud!E3="","",Mängud!E3)</f>
        <v>Raigo Rommot</v>
      </c>
      <c r="F10" s="48"/>
      <c r="G10" s="48"/>
      <c r="H10" s="12"/>
      <c r="J10" s="11"/>
    </row>
    <row r="11" spans="1:10" s="3" customFormat="1" ht="9.75">
      <c r="A11" s="7">
        <v>16</v>
      </c>
      <c r="B11" s="49" t="str">
        <f>VLOOKUP(A11,Paigutus!$A$3:$H$34,4,FALSE)</f>
        <v>Kalle Kuuspalu</v>
      </c>
      <c r="C11" s="49"/>
      <c r="D11" s="51"/>
      <c r="E11" s="9"/>
      <c r="F11" s="10" t="str">
        <f>IF(Mängud!F3="","",Mängud!F3)</f>
        <v>3:1</v>
      </c>
      <c r="J11" s="11"/>
    </row>
    <row r="12" spans="10:13" s="3" customFormat="1" ht="9.75">
      <c r="J12" s="11">
        <v>141</v>
      </c>
      <c r="K12" s="48" t="str">
        <f>IF(Mängud!E42="","",Mängud!E42)</f>
        <v>Antti Luigemaa</v>
      </c>
      <c r="L12" s="48"/>
      <c r="M12" s="48"/>
    </row>
    <row r="13" spans="1:13" s="3" customFormat="1" ht="9.75">
      <c r="A13" s="7">
        <v>9</v>
      </c>
      <c r="B13" s="49" t="str">
        <f>VLOOKUP(A13,Paigutus!$A$3:$H$34,4,FALSE)</f>
        <v>Eduard Virkunen</v>
      </c>
      <c r="C13" s="49"/>
      <c r="D13" s="49"/>
      <c r="J13" s="11"/>
      <c r="K13" s="9"/>
      <c r="L13" s="10" t="str">
        <f>IF(Mängud!F42="","",Mängud!F42)</f>
        <v>3:1</v>
      </c>
      <c r="M13" s="8"/>
    </row>
    <row r="14" spans="4:13" s="3" customFormat="1" ht="9.75">
      <c r="D14" s="8">
        <v>103</v>
      </c>
      <c r="E14" s="48" t="str">
        <f>IF(Mängud!E4="","",Mängud!E4)</f>
        <v>Eduard Virkunen</v>
      </c>
      <c r="F14" s="48"/>
      <c r="G14" s="48"/>
      <c r="J14" s="11"/>
      <c r="M14" s="11"/>
    </row>
    <row r="15" spans="1:13" s="3" customFormat="1" ht="9.75">
      <c r="A15" s="7">
        <v>24</v>
      </c>
      <c r="B15" s="49" t="str">
        <f>VLOOKUP(A15,Paigutus!$A$3:$H$34,4,FALSE)</f>
        <v>Raivo Roots</v>
      </c>
      <c r="C15" s="49"/>
      <c r="D15" s="51"/>
      <c r="E15" s="9"/>
      <c r="F15" s="10" t="str">
        <f>IF(Mängud!F4="","",Mängud!F4)</f>
        <v>3:0</v>
      </c>
      <c r="G15" s="8"/>
      <c r="J15" s="11"/>
      <c r="M15" s="11"/>
    </row>
    <row r="16" spans="7:13" s="3" customFormat="1" ht="9.75">
      <c r="G16" s="11">
        <v>118</v>
      </c>
      <c r="H16" s="50" t="str">
        <f>IF(Mängud!E19="","",Mängud!E19)</f>
        <v>Veiko Ristissaar</v>
      </c>
      <c r="I16" s="50"/>
      <c r="J16" s="50"/>
      <c r="M16" s="11"/>
    </row>
    <row r="17" spans="1:13" s="3" customFormat="1" ht="9.75">
      <c r="A17" s="7">
        <v>25</v>
      </c>
      <c r="B17" s="49" t="str">
        <f>VLOOKUP(A17,Paigutus!$A$3:$H$34,4,FALSE)</f>
        <v>Joosep Hansar</v>
      </c>
      <c r="C17" s="49"/>
      <c r="D17" s="49"/>
      <c r="G17" s="11"/>
      <c r="H17" s="9"/>
      <c r="I17" s="10" t="str">
        <f>IF(Mängud!F19="","",Mängud!F19)</f>
        <v>3:2</v>
      </c>
      <c r="J17" s="13"/>
      <c r="K17" s="14"/>
      <c r="M17" s="11"/>
    </row>
    <row r="18" spans="4:13" s="3" customFormat="1" ht="9.75">
      <c r="D18" s="8">
        <v>104</v>
      </c>
      <c r="E18" s="50" t="str">
        <f>IF(Mängud!E5="","",Mängud!E5)</f>
        <v>Veiko Ristissaar</v>
      </c>
      <c r="F18" s="50"/>
      <c r="G18" s="50"/>
      <c r="M18" s="11"/>
    </row>
    <row r="19" spans="1:13" s="3" customFormat="1" ht="9.75">
      <c r="A19" s="7">
        <v>8</v>
      </c>
      <c r="B19" s="49" t="str">
        <f>VLOOKUP(A19,Paigutus!$A$3:$H$34,4,FALSE)</f>
        <v>Veiko Ristissaar</v>
      </c>
      <c r="C19" s="49"/>
      <c r="D19" s="51"/>
      <c r="E19" s="9"/>
      <c r="F19" s="10" t="str">
        <f>IF(Mängud!F5="","",Mängud!F5)</f>
        <v>3:0</v>
      </c>
      <c r="G19" s="13"/>
      <c r="H19" s="14"/>
      <c r="M19" s="11"/>
    </row>
    <row r="20" spans="13:16" s="3" customFormat="1" ht="9.75">
      <c r="M20" s="11">
        <v>157</v>
      </c>
      <c r="N20" s="48" t="str">
        <f>IF(Mängud!E58="","",Mängud!E58)</f>
        <v>Antti Luigemaa</v>
      </c>
      <c r="O20" s="48"/>
      <c r="P20" s="48"/>
    </row>
    <row r="21" spans="1:16" s="3" customFormat="1" ht="9.75">
      <c r="A21" s="7">
        <v>5</v>
      </c>
      <c r="B21" s="49" t="str">
        <f>VLOOKUP(A21,Paigutus!$A$3:$H$34,4,FALSE)</f>
        <v>Vladyslav Rybachok</v>
      </c>
      <c r="C21" s="49"/>
      <c r="D21" s="49"/>
      <c r="M21" s="11"/>
      <c r="N21" s="9"/>
      <c r="O21" s="10" t="str">
        <f>IF(Mängud!F58="","",Mängud!F58)</f>
        <v>3:0</v>
      </c>
      <c r="P21" s="8"/>
    </row>
    <row r="22" spans="4:16" s="3" customFormat="1" ht="9.75">
      <c r="D22" s="8">
        <v>105</v>
      </c>
      <c r="E22" s="48" t="str">
        <f>IF(Mängud!E6="","",Mängud!E6)</f>
        <v>Vladyslav Rybachok</v>
      </c>
      <c r="F22" s="48"/>
      <c r="G22" s="48"/>
      <c r="M22" s="11"/>
      <c r="P22" s="11"/>
    </row>
    <row r="23" spans="1:16" s="3" customFormat="1" ht="9.75">
      <c r="A23" s="7">
        <v>28</v>
      </c>
      <c r="B23" s="49" t="str">
        <f>VLOOKUP(A23,Paigutus!$A$3:$H$34,4,FALSE)</f>
        <v>Aivar Soo</v>
      </c>
      <c r="C23" s="49"/>
      <c r="D23" s="51"/>
      <c r="E23" s="9"/>
      <c r="F23" s="10" t="str">
        <f>IF(Mängud!F6="","",Mängud!F6)</f>
        <v>3:0</v>
      </c>
      <c r="G23" s="8"/>
      <c r="M23" s="11"/>
      <c r="P23" s="11"/>
    </row>
    <row r="24" spans="7:16" s="3" customFormat="1" ht="9.75">
      <c r="G24" s="11">
        <v>119</v>
      </c>
      <c r="H24" s="48" t="str">
        <f>IF(Mängud!E20="","",Mängud!E20)</f>
        <v>Vladyslav Rybachok</v>
      </c>
      <c r="I24" s="48"/>
      <c r="J24" s="48"/>
      <c r="M24" s="11"/>
      <c r="P24" s="11"/>
    </row>
    <row r="25" spans="1:16" s="3" customFormat="1" ht="9.75">
      <c r="A25" s="7">
        <v>21</v>
      </c>
      <c r="B25" s="49" t="str">
        <f>VLOOKUP(A25,Paigutus!$A$3:$H$34,4,FALSE)</f>
        <v>Arvi Merigan</v>
      </c>
      <c r="C25" s="49"/>
      <c r="D25" s="49"/>
      <c r="G25" s="11"/>
      <c r="H25" s="9"/>
      <c r="I25" s="10" t="str">
        <f>IF(Mängud!F20="","",Mängud!F20)</f>
        <v>3:1</v>
      </c>
      <c r="J25" s="8"/>
      <c r="M25" s="11"/>
      <c r="P25" s="11"/>
    </row>
    <row r="26" spans="4:16" s="3" customFormat="1" ht="9.75">
      <c r="D26" s="8">
        <v>106</v>
      </c>
      <c r="E26" s="48" t="str">
        <f>IF(Mängud!E7="","",Mängud!E7)</f>
        <v>Reino Ristissaar</v>
      </c>
      <c r="F26" s="48"/>
      <c r="G26" s="48"/>
      <c r="H26" s="12"/>
      <c r="J26" s="11"/>
      <c r="M26" s="11"/>
      <c r="P26" s="11"/>
    </row>
    <row r="27" spans="1:16" s="3" customFormat="1" ht="9.75">
      <c r="A27" s="7">
        <v>12</v>
      </c>
      <c r="B27" s="49" t="str">
        <f>VLOOKUP(A27,Paigutus!$A$3:$H$34,4,FALSE)</f>
        <v>Reino Ristissaar</v>
      </c>
      <c r="C27" s="49"/>
      <c r="D27" s="51"/>
      <c r="E27" s="9"/>
      <c r="F27" s="10" t="str">
        <f>IF(Mängud!F7="","",Mängud!F7)</f>
        <v>3:0</v>
      </c>
      <c r="G27" s="13"/>
      <c r="H27" s="14"/>
      <c r="J27" s="11"/>
      <c r="M27" s="11"/>
      <c r="P27" s="11"/>
    </row>
    <row r="28" spans="10:16" s="3" customFormat="1" ht="9.75">
      <c r="J28" s="11">
        <v>142</v>
      </c>
      <c r="K28" s="48" t="str">
        <f>IF(Mängud!E43="","",Mängud!E43)</f>
        <v>Urmas Sinisalu</v>
      </c>
      <c r="L28" s="48"/>
      <c r="M28" s="48"/>
      <c r="N28" s="12"/>
      <c r="P28" s="11"/>
    </row>
    <row r="29" spans="1:16" s="3" customFormat="1" ht="9.75">
      <c r="A29" s="7">
        <v>13</v>
      </c>
      <c r="B29" s="49" t="str">
        <f>VLOOKUP(A29,Paigutus!$A$3:$H$34,4,FALSE)</f>
        <v>Jimmy Lindborg</v>
      </c>
      <c r="C29" s="49"/>
      <c r="D29" s="49"/>
      <c r="J29" s="11"/>
      <c r="K29" s="9"/>
      <c r="L29" s="10" t="str">
        <f>IF(Mängud!F43="","",Mängud!F43)</f>
        <v>3:0</v>
      </c>
      <c r="M29" s="13"/>
      <c r="N29" s="14"/>
      <c r="P29" s="11"/>
    </row>
    <row r="30" spans="4:16" s="3" customFormat="1" ht="9.75">
      <c r="D30" s="8">
        <v>107</v>
      </c>
      <c r="E30" s="48" t="str">
        <f>IF(Mängud!E8="","",Mängud!E8)</f>
        <v>Jimmy Lindborg</v>
      </c>
      <c r="F30" s="48"/>
      <c r="G30" s="48"/>
      <c r="J30" s="11"/>
      <c r="P30" s="11"/>
    </row>
    <row r="31" spans="1:16" s="3" customFormat="1" ht="9.75">
      <c r="A31" s="7">
        <v>20</v>
      </c>
      <c r="B31" s="49" t="str">
        <f>VLOOKUP(A31,Paigutus!$A$3:$H$34,4,FALSE)</f>
        <v>Alex Rahuoja</v>
      </c>
      <c r="C31" s="49"/>
      <c r="D31" s="51"/>
      <c r="E31" s="9"/>
      <c r="F31" s="10" t="str">
        <f>IF(Mängud!F8="","",Mängud!F8)</f>
        <v>3:2</v>
      </c>
      <c r="G31" s="8"/>
      <c r="J31" s="11"/>
      <c r="P31" s="11"/>
    </row>
    <row r="32" spans="7:16" s="3" customFormat="1" ht="9.75">
      <c r="G32" s="11">
        <v>120</v>
      </c>
      <c r="H32" s="50" t="str">
        <f>IF(Mängud!E21="","",Mängud!E21)</f>
        <v>Urmas Sinisalu</v>
      </c>
      <c r="I32" s="50"/>
      <c r="J32" s="50"/>
      <c r="P32" s="11"/>
    </row>
    <row r="33" spans="1:16" s="3" customFormat="1" ht="9.75">
      <c r="A33" s="7">
        <v>29</v>
      </c>
      <c r="B33" s="49" t="str">
        <f>VLOOKUP(A33,Paigutus!$A$3:$H$34,4,FALSE)</f>
        <v>Taivo Koitla</v>
      </c>
      <c r="C33" s="49"/>
      <c r="D33" s="49"/>
      <c r="G33" s="11"/>
      <c r="H33" s="9"/>
      <c r="I33" s="10" t="str">
        <f>IF(Mängud!F21="","",Mängud!F21)</f>
        <v>3:0</v>
      </c>
      <c r="J33" s="13"/>
      <c r="K33" s="14"/>
      <c r="P33" s="11"/>
    </row>
    <row r="34" spans="4:16" s="3" customFormat="1" ht="9.75">
      <c r="D34" s="8">
        <v>108</v>
      </c>
      <c r="E34" s="48" t="str">
        <f>IF(Mängud!E9="","",Mängud!E9)</f>
        <v>Urmas Sinisalu</v>
      </c>
      <c r="F34" s="48"/>
      <c r="G34" s="48"/>
      <c r="H34" s="12"/>
      <c r="P34" s="11"/>
    </row>
    <row r="35" spans="1:16" s="3" customFormat="1" ht="9.75">
      <c r="A35" s="7">
        <v>4</v>
      </c>
      <c r="B35" s="49" t="str">
        <f>VLOOKUP(A35,Paigutus!$A$3:$H$34,4,FALSE)</f>
        <v>Urmas Sinisalu</v>
      </c>
      <c r="C35" s="49"/>
      <c r="D35" s="51"/>
      <c r="E35" s="9"/>
      <c r="F35" s="10" t="str">
        <f>IF(Mängud!F9="","",Mängud!F9)</f>
        <v>3:0</v>
      </c>
      <c r="G35" s="13"/>
      <c r="H35" s="14"/>
      <c r="P35" s="11"/>
    </row>
    <row r="36" spans="16:20" s="3" customFormat="1" ht="9.75">
      <c r="P36" s="11">
        <v>177</v>
      </c>
      <c r="Q36" s="48" t="str">
        <f>IF(Mängud!E78="","",Mängud!E78)</f>
        <v>Antti Luigemaa</v>
      </c>
      <c r="R36" s="48"/>
      <c r="S36" s="48"/>
      <c r="T36" s="7" t="s">
        <v>9</v>
      </c>
    </row>
    <row r="37" spans="1:20" s="3" customFormat="1" ht="9.75">
      <c r="A37" s="7">
        <v>3</v>
      </c>
      <c r="B37" s="49" t="str">
        <f>VLOOKUP(A37,Paigutus!$A$3:$H$34,4,FALSE)</f>
        <v>Andres Somer</v>
      </c>
      <c r="C37" s="49"/>
      <c r="D37" s="49"/>
      <c r="P37" s="11"/>
      <c r="Q37" s="9"/>
      <c r="R37" s="15"/>
      <c r="S37" s="13"/>
      <c r="T37" s="14"/>
    </row>
    <row r="38" spans="4:20" s="3" customFormat="1" ht="9.75">
      <c r="D38" s="8">
        <v>109</v>
      </c>
      <c r="E38" s="48" t="str">
        <f>IF(Mängud!E10="","",Mängud!E10)</f>
        <v>Andres Somer</v>
      </c>
      <c r="F38" s="48"/>
      <c r="G38" s="48"/>
      <c r="P38" s="11"/>
      <c r="T38" s="14"/>
    </row>
    <row r="39" spans="1:16" s="3" customFormat="1" ht="9.75">
      <c r="A39" s="7">
        <v>30</v>
      </c>
      <c r="B39" s="49" t="str">
        <f>VLOOKUP(A39,Paigutus!$A$3:$H$34,4,FALSE)</f>
        <v>Jako Lill</v>
      </c>
      <c r="C39" s="49"/>
      <c r="D39" s="51"/>
      <c r="E39" s="9"/>
      <c r="F39" s="10" t="str">
        <f>IF(Mängud!F10="","",Mängud!F10)</f>
        <v>3:0</v>
      </c>
      <c r="G39" s="8"/>
      <c r="P39" s="11"/>
    </row>
    <row r="40" spans="7:16" s="3" customFormat="1" ht="9.75">
      <c r="G40" s="11">
        <v>121</v>
      </c>
      <c r="H40" s="48" t="str">
        <f>IF(Mängud!E22="","",Mängud!E22)</f>
        <v>Andres Somer</v>
      </c>
      <c r="I40" s="48"/>
      <c r="J40" s="48"/>
      <c r="P40" s="11"/>
    </row>
    <row r="41" spans="1:16" s="3" customFormat="1" ht="9.75">
      <c r="A41" s="7">
        <v>19</v>
      </c>
      <c r="B41" s="49" t="str">
        <f>VLOOKUP(A41,Paigutus!$A$3:$H$34,4,FALSE)</f>
        <v>Taavi Miku</v>
      </c>
      <c r="C41" s="49"/>
      <c r="D41" s="49"/>
      <c r="G41" s="11"/>
      <c r="H41" s="9"/>
      <c r="I41" s="10" t="str">
        <f>IF(Mängud!F22="","",Mängud!F22)</f>
        <v>3:0</v>
      </c>
      <c r="J41" s="8"/>
      <c r="P41" s="11"/>
    </row>
    <row r="42" spans="4:16" s="3" customFormat="1" ht="9.75">
      <c r="D42" s="8">
        <v>110</v>
      </c>
      <c r="E42" s="48" t="str">
        <f>IF(Mängud!E11="","",Mängud!E11)</f>
        <v>Ain Raid</v>
      </c>
      <c r="F42" s="48"/>
      <c r="G42" s="48"/>
      <c r="H42" s="12"/>
      <c r="J42" s="11"/>
      <c r="P42" s="11"/>
    </row>
    <row r="43" spans="1:16" s="3" customFormat="1" ht="9.75">
      <c r="A43" s="7">
        <v>14</v>
      </c>
      <c r="B43" s="49" t="str">
        <f>VLOOKUP(A43,Paigutus!$A$3:$H$34,4,FALSE)</f>
        <v>Ain Raid</v>
      </c>
      <c r="C43" s="49"/>
      <c r="D43" s="51"/>
      <c r="E43" s="9"/>
      <c r="F43" s="10" t="str">
        <f>IF(Mängud!F11="","",Mängud!F11)</f>
        <v>3:0</v>
      </c>
      <c r="G43" s="13"/>
      <c r="H43" s="14"/>
      <c r="J43" s="11"/>
      <c r="P43" s="11"/>
    </row>
    <row r="44" spans="10:16" s="3" customFormat="1" ht="9.75">
      <c r="J44" s="11">
        <v>143</v>
      </c>
      <c r="K44" s="48" t="str">
        <f>IF(Mängud!E44="","",Mängud!E44)</f>
        <v>Mykhailo Plokhotniuk</v>
      </c>
      <c r="L44" s="48"/>
      <c r="M44" s="48"/>
      <c r="P44" s="11"/>
    </row>
    <row r="45" spans="1:16" s="3" customFormat="1" ht="9.75">
      <c r="A45" s="7">
        <v>11</v>
      </c>
      <c r="B45" s="49" t="str">
        <f>VLOOKUP(A45,Paigutus!$A$3:$H$34,4,FALSE)</f>
        <v>Kalju Kalda</v>
      </c>
      <c r="C45" s="49"/>
      <c r="D45" s="49"/>
      <c r="J45" s="11"/>
      <c r="K45" s="9"/>
      <c r="L45" s="10" t="str">
        <f>IF(Mängud!F44="","",Mängud!F44)</f>
        <v>3:1</v>
      </c>
      <c r="M45" s="8"/>
      <c r="P45" s="11"/>
    </row>
    <row r="46" spans="4:16" s="3" customFormat="1" ht="9.75">
      <c r="D46" s="8">
        <v>111</v>
      </c>
      <c r="E46" s="48" t="str">
        <f>IF(Mängud!E12="","",Mängud!E12)</f>
        <v>Kalju Kalda</v>
      </c>
      <c r="F46" s="48"/>
      <c r="G46" s="48"/>
      <c r="J46" s="11"/>
      <c r="M46" s="11"/>
      <c r="P46" s="11"/>
    </row>
    <row r="47" spans="1:16" s="3" customFormat="1" ht="9.75">
      <c r="A47" s="7">
        <v>22</v>
      </c>
      <c r="B47" s="49" t="str">
        <f>VLOOKUP(A47,Paigutus!$A$3:$H$34,4,FALSE)</f>
        <v>Tõnu Hansar</v>
      </c>
      <c r="C47" s="49"/>
      <c r="D47" s="51"/>
      <c r="E47" s="9"/>
      <c r="F47" s="10" t="str">
        <f>IF(Mängud!F12="","",Mängud!F12)</f>
        <v>3:1</v>
      </c>
      <c r="G47" s="8"/>
      <c r="J47" s="11"/>
      <c r="M47" s="11"/>
      <c r="P47" s="11"/>
    </row>
    <row r="48" spans="7:16" s="3" customFormat="1" ht="9.75">
      <c r="G48" s="11">
        <v>122</v>
      </c>
      <c r="H48" s="48" t="str">
        <f>IF(Mängud!E23="","",Mängud!E23)</f>
        <v>Mykhailo Plokhotniuk</v>
      </c>
      <c r="I48" s="48"/>
      <c r="J48" s="48"/>
      <c r="K48" s="12"/>
      <c r="M48" s="11"/>
      <c r="P48" s="11"/>
    </row>
    <row r="49" spans="1:16" s="3" customFormat="1" ht="9.75">
      <c r="A49" s="7">
        <v>27</v>
      </c>
      <c r="B49" s="49" t="str">
        <f>VLOOKUP(A49,Paigutus!$A$3:$H$34,4,FALSE)</f>
        <v>Anatoli Zapunov</v>
      </c>
      <c r="C49" s="49"/>
      <c r="D49" s="49"/>
      <c r="G49" s="11"/>
      <c r="H49" s="9"/>
      <c r="I49" s="10" t="str">
        <f>IF(Mängud!F23="","",Mängud!F23)</f>
        <v>3:1</v>
      </c>
      <c r="J49" s="13"/>
      <c r="K49" s="14"/>
      <c r="M49" s="11"/>
      <c r="P49" s="11"/>
    </row>
    <row r="50" spans="4:16" s="3" customFormat="1" ht="9.75">
      <c r="D50" s="8">
        <v>112</v>
      </c>
      <c r="E50" s="48" t="str">
        <f>IF(Mängud!E13="","",Mängud!E13)</f>
        <v>Mykhailo Plokhotniuk</v>
      </c>
      <c r="F50" s="48"/>
      <c r="G50" s="48"/>
      <c r="H50" s="12"/>
      <c r="M50" s="11"/>
      <c r="P50" s="11"/>
    </row>
    <row r="51" spans="1:16" s="3" customFormat="1" ht="9.75">
      <c r="A51" s="7">
        <v>6</v>
      </c>
      <c r="B51" s="49" t="str">
        <f>VLOOKUP(A51,Paigutus!$A$3:$H$34,4,FALSE)</f>
        <v>Mykhailo Plokhotniuk</v>
      </c>
      <c r="C51" s="49"/>
      <c r="D51" s="51"/>
      <c r="E51" s="9"/>
      <c r="F51" s="10" t="str">
        <f>IF(Mängud!F13="","",Mängud!F13)</f>
        <v>3:0</v>
      </c>
      <c r="G51" s="13"/>
      <c r="H51" s="14"/>
      <c r="M51" s="11"/>
      <c r="P51" s="11"/>
    </row>
    <row r="52" spans="13:16" s="3" customFormat="1" ht="9.75">
      <c r="M52" s="11">
        <v>158</v>
      </c>
      <c r="N52" s="50" t="str">
        <f>IF(Mängud!E59="","",Mängud!E59)</f>
        <v>Mykhailo Plokhotniuk</v>
      </c>
      <c r="O52" s="50"/>
      <c r="P52" s="50"/>
    </row>
    <row r="53" spans="1:15" s="3" customFormat="1" ht="9.75">
      <c r="A53" s="7">
        <v>7</v>
      </c>
      <c r="B53" s="49" t="str">
        <f>VLOOKUP(A53,Paigutus!$A$3:$H$34,4,FALSE)</f>
        <v>Imre Korsen</v>
      </c>
      <c r="C53" s="49"/>
      <c r="D53" s="49"/>
      <c r="M53" s="11"/>
      <c r="N53" s="9"/>
      <c r="O53" s="10" t="str">
        <f>IF(Mängud!F59="","",Mängud!F59)</f>
        <v>3:2</v>
      </c>
    </row>
    <row r="54" spans="4:13" s="3" customFormat="1" ht="9.75">
      <c r="D54" s="8">
        <v>113</v>
      </c>
      <c r="E54" s="48" t="str">
        <f>IF(Mängud!E14="","",Mängud!E14)</f>
        <v>Imre Korsen</v>
      </c>
      <c r="F54" s="48"/>
      <c r="G54" s="48"/>
      <c r="M54" s="11"/>
    </row>
    <row r="55" spans="1:13" s="3" customFormat="1" ht="9.75">
      <c r="A55" s="7">
        <v>26</v>
      </c>
      <c r="B55" s="49" t="str">
        <f>VLOOKUP(A55,Paigutus!$A$3:$H$34,4,FALSE)</f>
        <v>Heiki Hansar</v>
      </c>
      <c r="C55" s="49"/>
      <c r="D55" s="51"/>
      <c r="E55" s="9"/>
      <c r="F55" s="10" t="str">
        <f>IF(Mängud!F14="","",Mängud!F14)</f>
        <v>3:0</v>
      </c>
      <c r="G55" s="8"/>
      <c r="M55" s="11"/>
    </row>
    <row r="56" spans="7:13" s="3" customFormat="1" ht="9.75">
      <c r="G56" s="11">
        <v>123</v>
      </c>
      <c r="H56" s="48" t="str">
        <f>IF(Mängud!E24="","",Mängud!E24)</f>
        <v>Imre Korsen</v>
      </c>
      <c r="I56" s="48"/>
      <c r="J56" s="48"/>
      <c r="M56" s="11"/>
    </row>
    <row r="57" spans="1:13" s="3" customFormat="1" ht="9.75">
      <c r="A57" s="7">
        <v>23</v>
      </c>
      <c r="B57" s="49" t="str">
        <f>VLOOKUP(A57,Paigutus!$A$3:$H$34,4,FALSE)</f>
        <v>Hannes Lepik</v>
      </c>
      <c r="C57" s="49"/>
      <c r="D57" s="49"/>
      <c r="G57" s="11"/>
      <c r="H57" s="9"/>
      <c r="I57" s="10" t="str">
        <f>IF(Mängud!F24="","",Mängud!F24)</f>
        <v>3:1</v>
      </c>
      <c r="J57" s="8"/>
      <c r="M57" s="11"/>
    </row>
    <row r="58" spans="4:13" s="3" customFormat="1" ht="9.75">
      <c r="D58" s="8">
        <v>114</v>
      </c>
      <c r="E58" s="48" t="str">
        <f>IF(Mängud!E15="","",Mängud!E15)</f>
        <v>Keit Reinsalu</v>
      </c>
      <c r="F58" s="48"/>
      <c r="G58" s="48"/>
      <c r="H58" s="12"/>
      <c r="J58" s="11"/>
      <c r="M58" s="11"/>
    </row>
    <row r="59" spans="1:13" s="3" customFormat="1" ht="9.75">
      <c r="A59" s="7">
        <v>10</v>
      </c>
      <c r="B59" s="49" t="str">
        <f>VLOOKUP(A59,Paigutus!$A$3:$H$34,4,FALSE)</f>
        <v>Keit Reinsalu</v>
      </c>
      <c r="C59" s="49"/>
      <c r="D59" s="51"/>
      <c r="E59" s="9"/>
      <c r="F59" s="10" t="str">
        <f>IF(Mängud!F15="","",Mängud!F15)</f>
        <v>3:0</v>
      </c>
      <c r="G59" s="13"/>
      <c r="H59" s="14"/>
      <c r="J59" s="11"/>
      <c r="M59" s="11"/>
    </row>
    <row r="60" spans="10:14" s="3" customFormat="1" ht="9.75">
      <c r="J60" s="11">
        <v>144</v>
      </c>
      <c r="K60" s="48" t="str">
        <f>IF(Mängud!E45="","",Mängud!E45)</f>
        <v>Allan Salla</v>
      </c>
      <c r="L60" s="48"/>
      <c r="M60" s="48"/>
      <c r="N60" s="12"/>
    </row>
    <row r="61" spans="1:14" s="3" customFormat="1" ht="9.75">
      <c r="A61" s="7">
        <v>15</v>
      </c>
      <c r="B61" s="49" t="str">
        <f>VLOOKUP(A61,Paigutus!$A$3:$H$34,4,FALSE)</f>
        <v>Heikki Sool</v>
      </c>
      <c r="C61" s="49"/>
      <c r="D61" s="49"/>
      <c r="J61" s="11"/>
      <c r="K61" s="9"/>
      <c r="L61" s="10" t="str">
        <f>IF(Mängud!F45="","",Mängud!F45)</f>
        <v>3:2</v>
      </c>
      <c r="M61" s="13"/>
      <c r="N61" s="14"/>
    </row>
    <row r="62" spans="4:10" s="3" customFormat="1" ht="9.75">
      <c r="D62" s="8">
        <v>115</v>
      </c>
      <c r="E62" s="48" t="str">
        <f>IF(Mängud!E16="","",Mängud!E16)</f>
        <v>Marko Perendi</v>
      </c>
      <c r="F62" s="48"/>
      <c r="G62" s="48"/>
      <c r="J62" s="11"/>
    </row>
    <row r="63" spans="1:10" s="3" customFormat="1" ht="9.75">
      <c r="A63" s="7">
        <v>18</v>
      </c>
      <c r="B63" s="49" t="str">
        <f>VLOOKUP(A63,Paigutus!$A$3:$H$34,4,FALSE)</f>
        <v>Marko Perendi</v>
      </c>
      <c r="C63" s="49"/>
      <c r="D63" s="51"/>
      <c r="E63" s="9"/>
      <c r="F63" s="10" t="str">
        <f>IF(Mängud!F16="","",Mängud!F16)</f>
        <v>3:1</v>
      </c>
      <c r="G63" s="8"/>
      <c r="J63" s="11"/>
    </row>
    <row r="64" spans="7:20" s="3" customFormat="1" ht="9.75">
      <c r="G64" s="11">
        <v>124</v>
      </c>
      <c r="H64" s="48" t="str">
        <f>IF(Mängud!E25="","",Mängud!E25)</f>
        <v>Allan Salla</v>
      </c>
      <c r="I64" s="48"/>
      <c r="J64" s="48"/>
      <c r="K64" s="12"/>
      <c r="P64" s="7">
        <v>-177</v>
      </c>
      <c r="Q64" s="49" t="str">
        <f>IF(Q36="","",IF(Q36=N20,N52,N20))</f>
        <v>Mykhailo Plokhotniuk</v>
      </c>
      <c r="R64" s="49"/>
      <c r="S64" s="49"/>
      <c r="T64" s="7" t="s">
        <v>10</v>
      </c>
    </row>
    <row r="65" spans="1:11" s="3" customFormat="1" ht="9.75">
      <c r="A65" s="7">
        <v>31</v>
      </c>
      <c r="B65" s="49" t="str">
        <f>VLOOKUP(A65,Paigutus!$A$3:$H$34,4,FALSE)</f>
        <v>Bye Bye</v>
      </c>
      <c r="C65" s="49"/>
      <c r="D65" s="49"/>
      <c r="G65" s="11"/>
      <c r="H65" s="9"/>
      <c r="I65" s="10" t="str">
        <f>IF(Mängud!F74="","",Mängud!F74)</f>
        <v>3:0</v>
      </c>
      <c r="J65" s="13"/>
      <c r="K65" s="14"/>
    </row>
    <row r="66" spans="4:7" s="3" customFormat="1" ht="9.75">
      <c r="D66" s="8">
        <v>116</v>
      </c>
      <c r="E66" s="50" t="str">
        <f>IF(Mängud!E17="","",Mängud!E17)</f>
        <v>Allan Salla</v>
      </c>
      <c r="F66" s="50"/>
      <c r="G66" s="50"/>
    </row>
    <row r="67" spans="1:8" s="3" customFormat="1" ht="9.75">
      <c r="A67" s="7">
        <v>2</v>
      </c>
      <c r="B67" s="49" t="str">
        <f>VLOOKUP(A67,Paigutus!$A$3:$H$34,4,FALSE)</f>
        <v>Allan Salla</v>
      </c>
      <c r="C67" s="49"/>
      <c r="D67" s="51"/>
      <c r="E67" s="9"/>
      <c r="F67" s="10" t="str">
        <f>IF(Mängud!F17="","",Mängud!F17)</f>
        <v>w.o.</v>
      </c>
      <c r="G67" s="13"/>
      <c r="H67" s="14"/>
    </row>
    <row r="68" s="3" customFormat="1" ht="9.75">
      <c r="H68" s="14"/>
    </row>
    <row r="69" s="3" customFormat="1" ht="9.75"/>
    <row r="70" s="3" customFormat="1" ht="9.75"/>
    <row r="71" s="3" customFormat="1" ht="9.75"/>
    <row r="72" s="3" customFormat="1" ht="9.75"/>
    <row r="73" s="3" customFormat="1" ht="9.75"/>
    <row r="74" s="3" customFormat="1" ht="9.75"/>
    <row r="75" s="3" customFormat="1" ht="9.75"/>
    <row r="76" s="3" customFormat="1" ht="9.75"/>
    <row r="77" s="3" customFormat="1" ht="9.75"/>
    <row r="78" s="3" customFormat="1" ht="9.75"/>
    <row r="79" s="3" customFormat="1" ht="9.75"/>
    <row r="80" s="3" customFormat="1" ht="9.75"/>
    <row r="81" s="3" customFormat="1" ht="9.75"/>
    <row r="82" s="3" customFormat="1" ht="9.75"/>
    <row r="83" s="3" customFormat="1" ht="9.75"/>
    <row r="84" s="3" customFormat="1" ht="9.75"/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  <row r="177" s="3" customFormat="1" ht="9.75"/>
    <row r="178" s="3" customFormat="1" ht="9.75"/>
    <row r="179" s="3" customFormat="1" ht="9.75"/>
    <row r="180" s="3" customFormat="1" ht="9.75"/>
    <row r="181" s="3" customFormat="1" ht="9.75"/>
    <row r="182" s="3" customFormat="1" ht="9.75"/>
    <row r="183" s="3" customFormat="1" ht="9.75"/>
    <row r="184" s="3" customFormat="1" ht="9.75"/>
    <row r="185" s="3" customFormat="1" ht="9.75"/>
    <row r="186" s="3" customFormat="1" ht="9.75"/>
    <row r="187" s="3" customFormat="1" ht="9.75"/>
    <row r="188" s="3" customFormat="1" ht="9.75"/>
    <row r="189" s="3" customFormat="1" ht="9.75"/>
    <row r="190" s="3" customFormat="1" ht="9.75"/>
    <row r="191" s="3" customFormat="1" ht="9.75"/>
    <row r="192" s="3" customFormat="1" ht="9.75"/>
    <row r="193" s="3" customFormat="1" ht="9.75"/>
    <row r="194" s="3" customFormat="1" ht="9.75"/>
    <row r="195" s="3" customFormat="1" ht="9.75"/>
    <row r="196" s="3" customFormat="1" ht="9.75"/>
    <row r="197" s="3" customFormat="1" ht="9.75"/>
    <row r="198" s="3" customFormat="1" ht="9.75"/>
    <row r="199" s="3" customFormat="1" ht="9.75"/>
    <row r="200" s="3" customFormat="1" ht="9.75"/>
    <row r="201" s="3" customFormat="1" ht="9.75"/>
    <row r="202" s="3" customFormat="1" ht="9.75"/>
    <row r="203" s="3" customFormat="1" ht="9.75"/>
  </sheetData>
  <sheetProtection selectLockedCells="1" selectUnlockedCells="1"/>
  <mergeCells count="74">
    <mergeCell ref="A4:T4"/>
    <mergeCell ref="P1:T1"/>
    <mergeCell ref="P2:T3"/>
    <mergeCell ref="A1:E1"/>
    <mergeCell ref="F1:O1"/>
    <mergeCell ref="A2:E2"/>
    <mergeCell ref="F2:O2"/>
    <mergeCell ref="B3:D3"/>
    <mergeCell ref="J3:K3"/>
    <mergeCell ref="B5:D5"/>
    <mergeCell ref="K5:N5"/>
    <mergeCell ref="E6:G6"/>
    <mergeCell ref="B7:D7"/>
    <mergeCell ref="H8:J8"/>
    <mergeCell ref="B9:D9"/>
    <mergeCell ref="E10:G10"/>
    <mergeCell ref="B11:D11"/>
    <mergeCell ref="K12:M12"/>
    <mergeCell ref="B13:D13"/>
    <mergeCell ref="E14:G14"/>
    <mergeCell ref="B15:D15"/>
    <mergeCell ref="H16:J16"/>
    <mergeCell ref="B17:D17"/>
    <mergeCell ref="E18:G18"/>
    <mergeCell ref="B19:D19"/>
    <mergeCell ref="N20:P20"/>
    <mergeCell ref="B21:D21"/>
    <mergeCell ref="E22:G22"/>
    <mergeCell ref="B23:D23"/>
    <mergeCell ref="H24:J24"/>
    <mergeCell ref="B25:D25"/>
    <mergeCell ref="E26:G26"/>
    <mergeCell ref="B27:D27"/>
    <mergeCell ref="K28:M28"/>
    <mergeCell ref="B29:D29"/>
    <mergeCell ref="E30:G30"/>
    <mergeCell ref="B31:D31"/>
    <mergeCell ref="H32:J32"/>
    <mergeCell ref="B33:D33"/>
    <mergeCell ref="E34:G34"/>
    <mergeCell ref="B35:D35"/>
    <mergeCell ref="Q36:S36"/>
    <mergeCell ref="B37:D37"/>
    <mergeCell ref="E38:G38"/>
    <mergeCell ref="B39:D39"/>
    <mergeCell ref="H40:J40"/>
    <mergeCell ref="B41:D41"/>
    <mergeCell ref="E42:G42"/>
    <mergeCell ref="B43:D43"/>
    <mergeCell ref="K44:M44"/>
    <mergeCell ref="B45:D45"/>
    <mergeCell ref="E46:G46"/>
    <mergeCell ref="B47:D47"/>
    <mergeCell ref="H48:J48"/>
    <mergeCell ref="B49:D49"/>
    <mergeCell ref="E50:G50"/>
    <mergeCell ref="B51:D51"/>
    <mergeCell ref="B63:D63"/>
    <mergeCell ref="N52:P52"/>
    <mergeCell ref="B53:D53"/>
    <mergeCell ref="E54:G54"/>
    <mergeCell ref="B55:D55"/>
    <mergeCell ref="H56:J56"/>
    <mergeCell ref="B57:D57"/>
    <mergeCell ref="H64:J64"/>
    <mergeCell ref="Q64:S64"/>
    <mergeCell ref="B65:D65"/>
    <mergeCell ref="E66:G66"/>
    <mergeCell ref="B67:D67"/>
    <mergeCell ref="E58:G58"/>
    <mergeCell ref="B59:D59"/>
    <mergeCell ref="K60:M60"/>
    <mergeCell ref="B61:D61"/>
    <mergeCell ref="E62:G62"/>
  </mergeCells>
  <printOptions/>
  <pageMargins left="0.19652777777777777" right="0.15763888888888888" top="0.4722222222222222" bottom="0.15763888888888888" header="0.5118055555555555" footer="0.511805555555555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67"/>
  <sheetViews>
    <sheetView zoomScalePageLayoutView="0" workbookViewId="0" topLeftCell="A13">
      <selection activeCell="R17" sqref="R17"/>
    </sheetView>
  </sheetViews>
  <sheetFormatPr defaultColWidth="9.140625" defaultRowHeight="12.75"/>
  <cols>
    <col min="1" max="1" width="4.140625" style="0" customWidth="1"/>
    <col min="2" max="17" width="5.7109375" style="0" customWidth="1"/>
    <col min="18" max="18" width="5.421875" style="0" customWidth="1"/>
    <col min="19" max="19" width="4.140625" style="0" customWidth="1"/>
    <col min="20" max="20" width="3.140625" style="0" bestFit="1" customWidth="1"/>
  </cols>
  <sheetData>
    <row r="1" spans="1:20" ht="12.75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2" ht="12.75">
      <c r="A2" s="3"/>
      <c r="B2" s="3"/>
      <c r="C2" s="3"/>
      <c r="D2" s="7">
        <v>-120</v>
      </c>
      <c r="E2" s="35" t="str">
        <f>IF(Plussring!H32="","",IF(Plussring!H32=Plussring!E30,Plussring!E34,Plussring!E30))</f>
        <v>Jimmy Lindborg</v>
      </c>
      <c r="F2" s="35"/>
      <c r="G2" s="35"/>
      <c r="I2" s="34"/>
      <c r="J2" s="34"/>
      <c r="K2" s="34"/>
      <c r="L2" s="34"/>
      <c r="M2" s="34"/>
      <c r="N2" s="34"/>
      <c r="O2" s="34"/>
      <c r="P2" s="34"/>
      <c r="Q2" s="34"/>
      <c r="R2" s="34"/>
      <c r="S2" s="3"/>
      <c r="T2" s="3"/>
      <c r="U2" s="3"/>
      <c r="V2" s="2"/>
    </row>
    <row r="3" spans="1:22" ht="12.75">
      <c r="A3" s="7">
        <v>-109</v>
      </c>
      <c r="B3" s="49" t="str">
        <f>IF(Plussring!E38="","",IF(Plussring!E38=Plussring!B37,Plussring!B39,Plussring!B37))</f>
        <v>Jako Lill</v>
      </c>
      <c r="C3" s="49"/>
      <c r="D3" s="49"/>
      <c r="E3" s="3"/>
      <c r="F3" s="3"/>
      <c r="G3" s="8">
        <v>133</v>
      </c>
      <c r="H3" s="48" t="str">
        <f>IF(Mängud!E34="","",Mängud!E34)</f>
        <v>Jimmy Lindborg</v>
      </c>
      <c r="I3" s="48"/>
      <c r="J3" s="48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</row>
    <row r="4" spans="1:22" ht="12.75">
      <c r="A4" s="3"/>
      <c r="B4" s="3"/>
      <c r="C4" s="3"/>
      <c r="D4" s="8">
        <v>125</v>
      </c>
      <c r="E4" s="50" t="str">
        <f>IF(Mängud!E26="","",Mängud!E26)</f>
        <v>Taavi Miku</v>
      </c>
      <c r="F4" s="50"/>
      <c r="G4" s="50"/>
      <c r="H4" s="9"/>
      <c r="I4" s="10" t="str">
        <f>IF(Mängud!F34="","",Mängud!F34)</f>
        <v>3:1</v>
      </c>
      <c r="J4" s="8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</row>
    <row r="5" spans="1:22" ht="12.75">
      <c r="A5" s="7">
        <v>-110</v>
      </c>
      <c r="B5" s="49" t="str">
        <f>IF(Plussring!E42="","",IF(Plussring!E42=Plussring!B41,Plussring!B43,Plussring!B41))</f>
        <v>Taavi Miku</v>
      </c>
      <c r="C5" s="49"/>
      <c r="D5" s="49"/>
      <c r="E5" s="16"/>
      <c r="F5" s="10" t="str">
        <f>IF(Mängud!F26="","",Mängud!F26)</f>
        <v>3:0</v>
      </c>
      <c r="G5" s="3"/>
      <c r="H5" s="3"/>
      <c r="I5" s="3"/>
      <c r="J5" s="11">
        <v>149</v>
      </c>
      <c r="K5" s="48" t="str">
        <f>IF(Mängud!E50="","",Mängud!E50)</f>
        <v>Jimmy Lindborg</v>
      </c>
      <c r="L5" s="48"/>
      <c r="M5" s="48"/>
      <c r="N5" s="3"/>
      <c r="O5" s="3"/>
      <c r="P5" s="3"/>
      <c r="Q5" s="3"/>
      <c r="R5" s="3"/>
      <c r="S5" s="3"/>
      <c r="T5" s="3"/>
      <c r="U5" s="3"/>
      <c r="V5" s="2"/>
    </row>
    <row r="6" spans="1:22" ht="12.75">
      <c r="A6" s="3"/>
      <c r="B6" s="3"/>
      <c r="C6" s="3"/>
      <c r="D6" s="7">
        <v>-119</v>
      </c>
      <c r="E6" s="49" t="str">
        <f>IF(Plussring!H24="","",IF(Plussring!H24=Plussring!E22,Plussring!E26,Plussring!E22))</f>
        <v>Reino Ristissaar</v>
      </c>
      <c r="F6" s="49"/>
      <c r="G6" s="49"/>
      <c r="H6" s="3"/>
      <c r="I6" s="3"/>
      <c r="J6" s="11"/>
      <c r="K6" s="9"/>
      <c r="L6" s="10" t="str">
        <f>IF(Mängud!F50="","",Mängud!F50)</f>
        <v>3:2</v>
      </c>
      <c r="M6" s="8"/>
      <c r="N6" s="3"/>
      <c r="O6" s="3"/>
      <c r="P6" s="3"/>
      <c r="Q6" s="3"/>
      <c r="R6" s="3"/>
      <c r="S6" s="3"/>
      <c r="T6" s="3"/>
      <c r="U6" s="3"/>
      <c r="V6" s="2"/>
    </row>
    <row r="7" spans="1:22" ht="12.75">
      <c r="A7" s="7">
        <v>-111</v>
      </c>
      <c r="B7" s="49" t="str">
        <f>IF(Plussring!E46="","",IF(Plussring!E46=Plussring!B45,Plussring!B47,Plussring!B45))</f>
        <v>Tõnu Hansar</v>
      </c>
      <c r="C7" s="49"/>
      <c r="D7" s="49"/>
      <c r="E7" s="3"/>
      <c r="F7" s="3"/>
      <c r="G7" s="8">
        <v>134</v>
      </c>
      <c r="H7" s="48" t="str">
        <f>IF(Mängud!E35="","",Mängud!E35)</f>
        <v>Tõnu Hansar</v>
      </c>
      <c r="I7" s="48"/>
      <c r="J7" s="48"/>
      <c r="K7" s="12"/>
      <c r="L7" s="3"/>
      <c r="M7" s="11">
        <v>163</v>
      </c>
      <c r="N7" s="48" t="str">
        <f>IF(Mängud!E64="","",Mängud!E64)</f>
        <v>Jimmy Lindborg</v>
      </c>
      <c r="O7" s="48"/>
      <c r="P7" s="48"/>
      <c r="Q7" s="3"/>
      <c r="R7" s="3"/>
      <c r="S7" s="3"/>
      <c r="T7" s="3"/>
      <c r="U7" s="3"/>
      <c r="V7" s="2"/>
    </row>
    <row r="8" spans="1:22" ht="12.75">
      <c r="A8" s="3"/>
      <c r="B8" s="3"/>
      <c r="C8" s="3"/>
      <c r="D8" s="8">
        <v>126</v>
      </c>
      <c r="E8" s="50" t="str">
        <f>IF(Mängud!E27="","",Mängud!E27)</f>
        <v>Tõnu Hansar</v>
      </c>
      <c r="F8" s="50"/>
      <c r="G8" s="50"/>
      <c r="H8" s="9"/>
      <c r="I8" s="10" t="str">
        <f>IF(Mängud!F35="","",Mängud!F35)</f>
        <v>3:2</v>
      </c>
      <c r="J8" s="13"/>
      <c r="K8" s="14"/>
      <c r="L8" s="3"/>
      <c r="M8" s="11"/>
      <c r="N8" s="9"/>
      <c r="O8" s="10" t="str">
        <f>IF(Mängud!F64="","",Mängud!F64)</f>
        <v>3:2</v>
      </c>
      <c r="P8" s="8"/>
      <c r="Q8" s="3"/>
      <c r="R8" s="3"/>
      <c r="S8" s="3"/>
      <c r="T8" s="3"/>
      <c r="U8" s="3"/>
      <c r="V8" s="2"/>
    </row>
    <row r="9" spans="1:22" ht="12.75">
      <c r="A9" s="7">
        <v>-112</v>
      </c>
      <c r="B9" s="49" t="str">
        <f>IF(Plussring!E50="","",IF(Plussring!E50=Plussring!B49,Plussring!B51,Plussring!B49))</f>
        <v>Anatoli Zapunov</v>
      </c>
      <c r="C9" s="49"/>
      <c r="D9" s="49"/>
      <c r="E9" s="16"/>
      <c r="F9" s="10" t="str">
        <f>IF(Mängud!F27="","",Mängud!F27)</f>
        <v>3:1</v>
      </c>
      <c r="G9" s="3"/>
      <c r="H9" s="3"/>
      <c r="I9" s="3"/>
      <c r="J9" s="7">
        <v>-144</v>
      </c>
      <c r="K9" s="70" t="str">
        <f>IF(Plussring!K60="","",IF(Plussring!K60=Plussring!H56,Plussring!H64,Plussring!H56))</f>
        <v>Imre Korsen</v>
      </c>
      <c r="L9" s="70"/>
      <c r="M9" s="70"/>
      <c r="N9" s="3"/>
      <c r="O9" s="3"/>
      <c r="P9" s="11"/>
      <c r="Q9" s="3"/>
      <c r="R9" s="3"/>
      <c r="S9" s="3"/>
      <c r="T9" s="3"/>
      <c r="U9" s="3"/>
      <c r="V9" s="2"/>
    </row>
    <row r="10" spans="1:22" ht="12.75">
      <c r="A10" s="3"/>
      <c r="B10" s="3"/>
      <c r="C10" s="3"/>
      <c r="D10" s="7">
        <v>-118</v>
      </c>
      <c r="E10" s="49" t="str">
        <f>IF(Plussring!H16="","",IF(Plussring!H16=Plussring!E14,Plussring!E18,Plussring!E14))</f>
        <v>Eduard Virkunen</v>
      </c>
      <c r="F10" s="49"/>
      <c r="G10" s="49"/>
      <c r="H10" s="3"/>
      <c r="I10" s="3"/>
      <c r="J10" s="3"/>
      <c r="K10" s="3"/>
      <c r="L10" s="3"/>
      <c r="M10" s="3"/>
      <c r="N10" s="3"/>
      <c r="O10" s="3"/>
      <c r="P10" s="11"/>
      <c r="Q10" s="3"/>
      <c r="R10" s="3"/>
      <c r="S10" s="3"/>
      <c r="T10" s="3"/>
      <c r="U10" s="3"/>
      <c r="V10" s="2"/>
    </row>
    <row r="11" spans="1:22" ht="12.75">
      <c r="A11" s="7">
        <v>-113</v>
      </c>
      <c r="B11" s="49" t="str">
        <f>IF(Plussring!E54="","",IF(Plussring!E54=Plussring!B53,Plussring!B55,Plussring!B53))</f>
        <v>Heiki Hansar</v>
      </c>
      <c r="C11" s="49"/>
      <c r="D11" s="49"/>
      <c r="E11" s="3"/>
      <c r="F11" s="3"/>
      <c r="G11" s="8">
        <v>135</v>
      </c>
      <c r="H11" s="48" t="str">
        <f>IF(Mängud!E36="","",Mängud!E36)</f>
        <v>Eduard Virkunen</v>
      </c>
      <c r="I11" s="48"/>
      <c r="J11" s="48"/>
      <c r="K11" s="3"/>
      <c r="L11" s="3"/>
      <c r="M11" s="3"/>
      <c r="N11" s="3"/>
      <c r="O11" s="3"/>
      <c r="P11" s="11">
        <v>173</v>
      </c>
      <c r="Q11" s="48" t="str">
        <f>IF(Mängud!E74="","",Mängud!E74)</f>
        <v>Andres Somer</v>
      </c>
      <c r="R11" s="48"/>
      <c r="S11" s="48"/>
      <c r="T11" s="17"/>
      <c r="U11" s="3"/>
      <c r="V11" s="2"/>
    </row>
    <row r="12" spans="1:22" ht="12.75">
      <c r="A12" s="3"/>
      <c r="B12" s="3"/>
      <c r="C12" s="3"/>
      <c r="D12" s="8">
        <v>127</v>
      </c>
      <c r="E12" s="50" t="str">
        <f>IF(Mängud!E28="","",Mängud!E28)</f>
        <v>Hannes Lepik</v>
      </c>
      <c r="F12" s="50"/>
      <c r="G12" s="50"/>
      <c r="H12" s="9"/>
      <c r="I12" s="10" t="str">
        <f>IF(Mängud!F36="","",Mängud!F36)</f>
        <v>3:1</v>
      </c>
      <c r="J12" s="8"/>
      <c r="K12" s="3"/>
      <c r="L12" s="3"/>
      <c r="M12" s="3"/>
      <c r="N12" s="3"/>
      <c r="O12" s="3"/>
      <c r="P12" s="11"/>
      <c r="Q12" s="9"/>
      <c r="R12" s="10" t="str">
        <f>IF(Mängud!F74="","",Mängud!F74)</f>
        <v>3:0</v>
      </c>
      <c r="S12" s="3"/>
      <c r="T12" s="3"/>
      <c r="U12" s="3"/>
      <c r="V12" s="2"/>
    </row>
    <row r="13" spans="1:22" ht="12.75">
      <c r="A13" s="7">
        <v>-114</v>
      </c>
      <c r="B13" s="49" t="str">
        <f>IF(Plussring!E58="","",IF(Plussring!E58=Plussring!B57,Plussring!B59,Plussring!B57))</f>
        <v>Hannes Lepik</v>
      </c>
      <c r="C13" s="49"/>
      <c r="D13" s="49"/>
      <c r="E13" s="16"/>
      <c r="F13" s="10" t="str">
        <f>IF(Mängud!F28="","",Mängud!F28)</f>
        <v>3:1</v>
      </c>
      <c r="G13" s="3"/>
      <c r="H13" s="3"/>
      <c r="I13" s="3"/>
      <c r="J13" s="11">
        <v>150</v>
      </c>
      <c r="K13" s="48" t="str">
        <f>IF(Mängud!E51="","",Mängud!E51)</f>
        <v>Eduard Virkunen</v>
      </c>
      <c r="L13" s="48"/>
      <c r="M13" s="48"/>
      <c r="N13" s="3"/>
      <c r="O13" s="3"/>
      <c r="P13" s="11"/>
      <c r="Q13" s="3"/>
      <c r="R13" s="3"/>
      <c r="S13" s="3"/>
      <c r="T13" s="3"/>
      <c r="U13" s="3"/>
      <c r="V13" s="2"/>
    </row>
    <row r="14" spans="1:22" ht="12.75">
      <c r="A14" s="3"/>
      <c r="B14" s="3"/>
      <c r="C14" s="3"/>
      <c r="D14" s="7">
        <v>-117</v>
      </c>
      <c r="E14" s="49" t="str">
        <f>IF(Plussring!H8="","",IF(Plussring!H8=Plussring!E6,Plussring!E10,Plussring!E6))</f>
        <v>Raigo Rommot</v>
      </c>
      <c r="F14" s="49"/>
      <c r="G14" s="49"/>
      <c r="H14" s="3"/>
      <c r="I14" s="3"/>
      <c r="J14" s="11"/>
      <c r="K14" s="9"/>
      <c r="L14" s="10" t="str">
        <f>IF(Mängud!F51="","",Mängud!F51)</f>
        <v>3:2</v>
      </c>
      <c r="M14" s="8"/>
      <c r="N14" s="3"/>
      <c r="O14" s="3"/>
      <c r="P14" s="11"/>
      <c r="Q14" s="3"/>
      <c r="R14" s="3"/>
      <c r="S14" s="3"/>
      <c r="T14" s="3"/>
      <c r="U14" s="3"/>
      <c r="V14" s="2"/>
    </row>
    <row r="15" spans="1:22" ht="12.75">
      <c r="A15" s="7">
        <v>-115</v>
      </c>
      <c r="B15" s="49" t="str">
        <f>IF(Plussring!E62="","",IF(Plussring!E62=Plussring!B61,Plussring!B63,Plussring!B61))</f>
        <v>Heikki Sool</v>
      </c>
      <c r="C15" s="49"/>
      <c r="D15" s="49"/>
      <c r="E15" s="3"/>
      <c r="F15" s="3"/>
      <c r="G15" s="8">
        <v>136</v>
      </c>
      <c r="H15" s="48" t="str">
        <f>IF(Mängud!E37="","",Mängud!E37)</f>
        <v>Heikki Sool</v>
      </c>
      <c r="I15" s="48"/>
      <c r="J15" s="48"/>
      <c r="K15" s="12"/>
      <c r="L15" s="3"/>
      <c r="M15" s="11">
        <v>164</v>
      </c>
      <c r="N15" s="48" t="str">
        <f>IF(Mängud!E65="","",Mängud!E65)</f>
        <v>Andres Somer</v>
      </c>
      <c r="O15" s="48"/>
      <c r="P15" s="48"/>
      <c r="Q15" s="12"/>
      <c r="R15" s="3"/>
      <c r="S15" s="3"/>
      <c r="T15" s="3"/>
      <c r="U15" s="3"/>
      <c r="V15" s="2"/>
    </row>
    <row r="16" spans="1:22" ht="12.75">
      <c r="A16" s="3"/>
      <c r="B16" s="3"/>
      <c r="C16" s="3"/>
      <c r="D16" s="8">
        <v>128</v>
      </c>
      <c r="E16" s="50" t="str">
        <f>IF(Mängud!E29="","",Mängud!E29)</f>
        <v>Heikki Sool</v>
      </c>
      <c r="F16" s="50"/>
      <c r="G16" s="50"/>
      <c r="H16" s="9"/>
      <c r="I16" s="10" t="str">
        <f>IF(Mängud!F37="","",Mängud!F37)</f>
        <v>3:1</v>
      </c>
      <c r="J16" s="13"/>
      <c r="K16" s="14"/>
      <c r="L16" s="3"/>
      <c r="M16" s="11"/>
      <c r="N16" s="9"/>
      <c r="O16" s="10" t="str">
        <f>IF(Mängud!F65="","",Mängud!F65)</f>
        <v>3:0</v>
      </c>
      <c r="P16" s="13"/>
      <c r="Q16" s="14"/>
      <c r="R16" s="3"/>
      <c r="S16" s="3"/>
      <c r="T16" s="3"/>
      <c r="U16" s="3"/>
      <c r="V16" s="2"/>
    </row>
    <row r="17" spans="1:22" ht="12.75">
      <c r="A17" s="7">
        <v>-116</v>
      </c>
      <c r="B17" s="49" t="str">
        <f>IF(Plussring!E66="","",IF(Plussring!E66=Plussring!B65,Plussring!B67,Plussring!B65))</f>
        <v>Bye Bye</v>
      </c>
      <c r="C17" s="49"/>
      <c r="D17" s="49"/>
      <c r="E17" s="16"/>
      <c r="F17" s="10" t="str">
        <f>IF(Mängud!F29="","",Mängud!F29)</f>
        <v>w.o.</v>
      </c>
      <c r="G17" s="3"/>
      <c r="H17" s="3"/>
      <c r="I17" s="3"/>
      <c r="J17" s="7">
        <v>-143</v>
      </c>
      <c r="K17" s="70" t="str">
        <f>IF(Plussring!K44="","",IF(Plussring!K44=Plussring!H40,Plussring!H48,Plussring!H40))</f>
        <v>Andres Somer</v>
      </c>
      <c r="L17" s="70"/>
      <c r="M17" s="70"/>
      <c r="N17" s="3"/>
      <c r="O17" s="3"/>
      <c r="P17" s="3"/>
      <c r="Q17" s="3"/>
      <c r="R17" s="3"/>
      <c r="S17" s="3"/>
      <c r="T17" s="3"/>
      <c r="U17" s="3"/>
      <c r="V17" s="2"/>
    </row>
    <row r="18" spans="1:22" ht="12.75">
      <c r="A18" s="3"/>
      <c r="B18" s="3"/>
      <c r="C18" s="3"/>
      <c r="D18" s="7">
        <v>-124</v>
      </c>
      <c r="E18" s="49" t="str">
        <f>IF(Plussring!H64="","",IF(Plussring!H64=Plussring!E62,Plussring!E66,Plussring!E62))</f>
        <v>Marko Perendi</v>
      </c>
      <c r="F18" s="49"/>
      <c r="G18" s="4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2"/>
    </row>
    <row r="19" spans="1:22" ht="12.75">
      <c r="A19" s="7">
        <v>-101</v>
      </c>
      <c r="B19" s="49" t="str">
        <f>IF(Plussring!E6="","",IF(Plussring!E6=Plussring!B5,Plussring!B7,Plussring!B5))</f>
        <v>Bye Bye</v>
      </c>
      <c r="C19" s="49"/>
      <c r="D19" s="49"/>
      <c r="E19" s="3"/>
      <c r="F19" s="3"/>
      <c r="G19" s="8">
        <v>137</v>
      </c>
      <c r="H19" s="48" t="str">
        <f>IF(Mängud!E38="","",Mängud!E38)</f>
        <v>Marko Perendi</v>
      </c>
      <c r="I19" s="48"/>
      <c r="J19" s="48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2"/>
    </row>
    <row r="20" spans="1:22" ht="12.75">
      <c r="A20" s="3"/>
      <c r="B20" s="3"/>
      <c r="C20" s="3"/>
      <c r="D20" s="8">
        <v>129</v>
      </c>
      <c r="E20" s="50" t="str">
        <f>IF(Mängud!E30="","",Mängud!E30)</f>
        <v>Kalle Kuuspalu</v>
      </c>
      <c r="F20" s="50"/>
      <c r="G20" s="50"/>
      <c r="H20" s="9"/>
      <c r="I20" s="10" t="str">
        <f>IF(Mängud!F38="","",Mängud!F38)</f>
        <v>3:0</v>
      </c>
      <c r="J20" s="8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2"/>
    </row>
    <row r="21" spans="1:22" ht="12.75">
      <c r="A21" s="7">
        <v>-102</v>
      </c>
      <c r="B21" s="49" t="str">
        <f>IF(Plussring!E10="","",IF(Plussring!E10=Plussring!B9,Plussring!B11,Plussring!B9))</f>
        <v>Kalle Kuuspalu</v>
      </c>
      <c r="C21" s="49"/>
      <c r="D21" s="49"/>
      <c r="E21" s="16"/>
      <c r="F21" s="10" t="str">
        <f>IF(Mängud!F30="","",Mängud!F30)</f>
        <v>w.o.</v>
      </c>
      <c r="G21" s="3"/>
      <c r="H21" s="3"/>
      <c r="I21" s="3"/>
      <c r="J21" s="11">
        <v>151</v>
      </c>
      <c r="K21" s="48" t="str">
        <f>IF(Mängud!E52="","",Mängud!E52)</f>
        <v>Keit Reinsalu</v>
      </c>
      <c r="L21" s="48"/>
      <c r="M21" s="48"/>
      <c r="N21" s="3"/>
      <c r="O21" s="3"/>
      <c r="P21" s="3"/>
      <c r="Q21" s="3"/>
      <c r="R21" s="3"/>
      <c r="S21" s="3"/>
      <c r="T21" s="3"/>
      <c r="U21" s="3"/>
      <c r="V21" s="2"/>
    </row>
    <row r="22" spans="1:22" ht="12.75">
      <c r="A22" s="3"/>
      <c r="B22" s="3"/>
      <c r="C22" s="3"/>
      <c r="D22" s="7">
        <v>-123</v>
      </c>
      <c r="E22" s="49" t="str">
        <f>IF(Plussring!H56="","",IF(Plussring!H56=Plussring!E54,Plussring!E58,Plussring!E54))</f>
        <v>Keit Reinsalu</v>
      </c>
      <c r="F22" s="49"/>
      <c r="G22" s="49"/>
      <c r="H22" s="3"/>
      <c r="I22" s="3"/>
      <c r="J22" s="11"/>
      <c r="K22" s="9"/>
      <c r="L22" s="10" t="str">
        <f>IF(Mängud!F52="","",Mängud!F52)</f>
        <v>3:0</v>
      </c>
      <c r="M22" s="8"/>
      <c r="N22" s="3"/>
      <c r="O22" s="3"/>
      <c r="P22" s="3"/>
      <c r="Q22" s="3"/>
      <c r="R22" s="3"/>
      <c r="S22" s="3"/>
      <c r="T22" s="3"/>
      <c r="U22" s="3"/>
      <c r="V22" s="2"/>
    </row>
    <row r="23" spans="1:22" ht="12.75">
      <c r="A23" s="7">
        <v>-103</v>
      </c>
      <c r="B23" s="49" t="str">
        <f>IF(Plussring!E14="","",IF(Plussring!E14=Plussring!B13,Plussring!B15,Plussring!B13))</f>
        <v>Raivo Roots</v>
      </c>
      <c r="C23" s="49"/>
      <c r="D23" s="49"/>
      <c r="E23" s="3"/>
      <c r="F23" s="3"/>
      <c r="G23" s="8">
        <v>138</v>
      </c>
      <c r="H23" s="48" t="str">
        <f>IF(Mängud!E39="","",Mängud!E39)</f>
        <v>Keit Reinsalu</v>
      </c>
      <c r="I23" s="48"/>
      <c r="J23" s="48"/>
      <c r="K23" s="12"/>
      <c r="L23" s="3"/>
      <c r="M23" s="11">
        <v>165</v>
      </c>
      <c r="N23" s="48" t="str">
        <f>IF(Mängud!E66="","",Mängud!E66)</f>
        <v>Keit Reinsalu</v>
      </c>
      <c r="O23" s="48"/>
      <c r="P23" s="48"/>
      <c r="Q23" s="3"/>
      <c r="R23" s="3"/>
      <c r="S23" s="3"/>
      <c r="T23" s="3"/>
      <c r="U23" s="3"/>
      <c r="V23" s="2"/>
    </row>
    <row r="24" spans="1:22" ht="12.75">
      <c r="A24" s="3"/>
      <c r="B24" s="3"/>
      <c r="C24" s="3"/>
      <c r="D24" s="8">
        <v>130</v>
      </c>
      <c r="E24" s="50" t="str">
        <f>IF(Mängud!E31="","",Mängud!E31)</f>
        <v>Raivo Roots</v>
      </c>
      <c r="F24" s="50"/>
      <c r="G24" s="50"/>
      <c r="H24" s="9"/>
      <c r="I24" s="10" t="str">
        <f>IF(Mängud!F39="","",Mängud!F39)</f>
        <v>3:0</v>
      </c>
      <c r="J24" s="13"/>
      <c r="K24" s="14"/>
      <c r="L24" s="3"/>
      <c r="M24" s="11"/>
      <c r="N24" s="9"/>
      <c r="O24" s="10" t="str">
        <f>IF(Mängud!F66="","",Mängud!F66)</f>
        <v>3:0</v>
      </c>
      <c r="P24" s="8"/>
      <c r="Q24" s="3"/>
      <c r="R24" s="3"/>
      <c r="S24" s="3"/>
      <c r="T24" s="3"/>
      <c r="U24" s="3"/>
      <c r="V24" s="2"/>
    </row>
    <row r="25" spans="1:22" ht="12.75">
      <c r="A25" s="7">
        <v>-104</v>
      </c>
      <c r="B25" s="49" t="str">
        <f>IF(Plussring!E18="","",IF(Plussring!E18=Plussring!B17,Plussring!B19,Plussring!B17))</f>
        <v>Joosep Hansar</v>
      </c>
      <c r="C25" s="49"/>
      <c r="D25" s="49"/>
      <c r="E25" s="16"/>
      <c r="F25" s="10" t="str">
        <f>IF(Mängud!F31="","",Mängud!F31)</f>
        <v>3:0</v>
      </c>
      <c r="G25" s="3"/>
      <c r="H25" s="3"/>
      <c r="I25" s="3"/>
      <c r="J25" s="17">
        <v>-142</v>
      </c>
      <c r="K25" s="70" t="str">
        <f>IF(Plussring!K28="","",IF(Plussring!K28=Plussring!H24,Plussring!H32,Plussring!H24))</f>
        <v>Vladyslav Rybachok</v>
      </c>
      <c r="L25" s="70"/>
      <c r="M25" s="70"/>
      <c r="N25" s="3"/>
      <c r="O25" s="3"/>
      <c r="P25" s="11"/>
      <c r="Q25" s="3"/>
      <c r="R25" s="3"/>
      <c r="S25" s="3"/>
      <c r="T25" s="3"/>
      <c r="U25" s="3"/>
      <c r="V25" s="2"/>
    </row>
    <row r="26" spans="1:22" ht="12.75">
      <c r="A26" s="3"/>
      <c r="B26" s="3"/>
      <c r="C26" s="3"/>
      <c r="D26" s="7">
        <v>-122</v>
      </c>
      <c r="E26" s="49" t="str">
        <f>IF(Plussring!H48="","",IF(Plussring!H48=Plussring!E46,Plussring!E50,Plussring!E46))</f>
        <v>Kalju Kalda</v>
      </c>
      <c r="F26" s="49"/>
      <c r="G26" s="49"/>
      <c r="H26" s="3"/>
      <c r="I26" s="3"/>
      <c r="J26" s="3"/>
      <c r="K26" s="3"/>
      <c r="L26" s="3"/>
      <c r="M26" s="3"/>
      <c r="N26" s="3"/>
      <c r="O26" s="3"/>
      <c r="P26" s="11"/>
      <c r="Q26" s="3"/>
      <c r="R26" s="3"/>
      <c r="S26" s="3"/>
      <c r="T26" s="3"/>
      <c r="U26" s="3"/>
      <c r="V26" s="2"/>
    </row>
    <row r="27" spans="1:22" ht="12.75">
      <c r="A27" s="7">
        <v>-105</v>
      </c>
      <c r="B27" s="49" t="str">
        <f>IF(Plussring!E22="","",IF(Plussring!E22=Plussring!B21,Plussring!B23,Plussring!B21))</f>
        <v>Aivar Soo</v>
      </c>
      <c r="C27" s="49"/>
      <c r="D27" s="49"/>
      <c r="E27" s="3"/>
      <c r="F27" s="3"/>
      <c r="G27" s="8">
        <v>139</v>
      </c>
      <c r="H27" s="48" t="str">
        <f>IF(Mängud!E40="","",Mängud!E40)</f>
        <v>Kalju Kalda</v>
      </c>
      <c r="I27" s="48"/>
      <c r="J27" s="48"/>
      <c r="K27" s="3"/>
      <c r="L27" s="3"/>
      <c r="M27" s="3"/>
      <c r="N27" s="3"/>
      <c r="O27" s="3"/>
      <c r="P27" s="11">
        <v>174</v>
      </c>
      <c r="Q27" s="48" t="str">
        <f>IF(Mängud!E75="","",Mängud!E75)</f>
        <v>Keit Reinsalu</v>
      </c>
      <c r="R27" s="48"/>
      <c r="S27" s="48"/>
      <c r="T27" s="7"/>
      <c r="U27" s="3"/>
      <c r="V27" s="2"/>
    </row>
    <row r="28" spans="1:22" ht="12.75">
      <c r="A28" s="3"/>
      <c r="B28" s="3"/>
      <c r="C28" s="3"/>
      <c r="D28" s="8">
        <v>131</v>
      </c>
      <c r="E28" s="50" t="str">
        <f>IF(Mängud!E32="","",Mängud!E32)</f>
        <v>Arvi Merigan</v>
      </c>
      <c r="F28" s="50"/>
      <c r="G28" s="50"/>
      <c r="H28" s="9"/>
      <c r="I28" s="10" t="str">
        <f>IF(Mängud!F40="","",Mängud!F40)</f>
        <v>3:0</v>
      </c>
      <c r="J28" s="8"/>
      <c r="K28" s="3"/>
      <c r="L28" s="3"/>
      <c r="M28" s="3"/>
      <c r="N28" s="3"/>
      <c r="O28" s="3"/>
      <c r="P28" s="11"/>
      <c r="Q28" s="9"/>
      <c r="R28" s="10" t="str">
        <f>IF(Mängud!F75="","",Mängud!F75)</f>
        <v>3:0</v>
      </c>
      <c r="S28" s="3"/>
      <c r="T28" s="3"/>
      <c r="U28" s="3"/>
      <c r="V28" s="2"/>
    </row>
    <row r="29" spans="1:22" ht="12.75">
      <c r="A29" s="7">
        <v>-106</v>
      </c>
      <c r="B29" s="49" t="str">
        <f>IF(Plussring!E26="","",IF(Plussring!E26=Plussring!B25,Plussring!B27,Plussring!B25))</f>
        <v>Arvi Merigan</v>
      </c>
      <c r="C29" s="49"/>
      <c r="D29" s="49"/>
      <c r="E29" s="16"/>
      <c r="F29" s="10" t="str">
        <f>IF(Mängud!F32="","",Mängud!F32)</f>
        <v>3:1</v>
      </c>
      <c r="G29" s="3"/>
      <c r="H29" s="3"/>
      <c r="I29" s="3"/>
      <c r="J29" s="11">
        <v>152</v>
      </c>
      <c r="K29" s="48" t="str">
        <f>IF(Mängud!E53="","",Mängud!E53)</f>
        <v>Ain Raid</v>
      </c>
      <c r="L29" s="48"/>
      <c r="M29" s="48"/>
      <c r="N29" s="3"/>
      <c r="O29" s="3"/>
      <c r="P29" s="11"/>
      <c r="Q29" s="3"/>
      <c r="R29" s="3"/>
      <c r="S29" s="3"/>
      <c r="T29" s="3"/>
      <c r="U29" s="3"/>
      <c r="V29" s="2"/>
    </row>
    <row r="30" spans="1:22" ht="12.75">
      <c r="A30" s="3"/>
      <c r="B30" s="3"/>
      <c r="C30" s="3"/>
      <c r="D30" s="7">
        <v>-121</v>
      </c>
      <c r="E30" s="49" t="str">
        <f>IF(Plussring!H40="","",IF(Plussring!H40=Plussring!E38,Plussring!E42,Plussring!E38))</f>
        <v>Ain Raid</v>
      </c>
      <c r="F30" s="49"/>
      <c r="G30" s="49"/>
      <c r="H30" s="3"/>
      <c r="I30" s="3"/>
      <c r="J30" s="11"/>
      <c r="K30" s="9"/>
      <c r="L30" s="10" t="str">
        <f>IF(Mängud!F74="","",Mängud!F74)</f>
        <v>3:0</v>
      </c>
      <c r="M30" s="8"/>
      <c r="N30" s="3"/>
      <c r="O30" s="3"/>
      <c r="P30" s="11"/>
      <c r="Q30" s="3"/>
      <c r="R30" s="3"/>
      <c r="S30" s="3"/>
      <c r="T30" s="3"/>
      <c r="U30" s="3"/>
      <c r="V30" s="2"/>
    </row>
    <row r="31" spans="1:22" ht="12.75">
      <c r="A31" s="7">
        <v>-107</v>
      </c>
      <c r="B31" s="49" t="str">
        <f>IF(Plussring!E30="","",IF(Plussring!E30=Plussring!B29,Plussring!B31,Plussring!B29))</f>
        <v>Alex Rahuoja</v>
      </c>
      <c r="C31" s="49"/>
      <c r="D31" s="49"/>
      <c r="E31" s="3"/>
      <c r="F31" s="3"/>
      <c r="G31" s="8">
        <v>140</v>
      </c>
      <c r="H31" s="50" t="str">
        <f>IF(Mängud!E41="","",Mängud!E41)</f>
        <v>Ain Raid</v>
      </c>
      <c r="I31" s="50"/>
      <c r="J31" s="50"/>
      <c r="K31" s="3"/>
      <c r="L31" s="3"/>
      <c r="M31" s="11">
        <v>166</v>
      </c>
      <c r="N31" s="50" t="str">
        <f>IF(Mängud!E67="","",Mängud!E67)</f>
        <v>Veiko Ristissaar</v>
      </c>
      <c r="O31" s="50"/>
      <c r="P31" s="50"/>
      <c r="Q31" s="12"/>
      <c r="R31" s="3"/>
      <c r="S31" s="3"/>
      <c r="T31" s="3"/>
      <c r="U31" s="3"/>
      <c r="V31" s="2"/>
    </row>
    <row r="32" spans="1:22" ht="12.75">
      <c r="A32" s="3"/>
      <c r="B32" s="3"/>
      <c r="C32" s="3"/>
      <c r="D32" s="8">
        <v>132</v>
      </c>
      <c r="E32" s="50" t="str">
        <f>IF(Mängud!E33="","",Mängud!E33)</f>
        <v>Alex Rahuoja</v>
      </c>
      <c r="F32" s="50"/>
      <c r="G32" s="50"/>
      <c r="H32" s="9"/>
      <c r="I32" s="10" t="str">
        <f>IF(Mängud!F41="","",Mängud!F41)</f>
        <v>3:2</v>
      </c>
      <c r="J32" s="13"/>
      <c r="K32" s="14"/>
      <c r="L32" s="3"/>
      <c r="M32" s="14"/>
      <c r="N32" s="18"/>
      <c r="O32" s="10" t="str">
        <f>IF(Mängud!F88="","",Mängud!F88)</f>
        <v>3:1</v>
      </c>
      <c r="P32" s="14"/>
      <c r="Q32" s="14"/>
      <c r="R32" s="3"/>
      <c r="S32" s="3"/>
      <c r="T32" s="3"/>
      <c r="U32" s="3"/>
      <c r="V32" s="2"/>
    </row>
    <row r="33" spans="1:22" ht="12.75">
      <c r="A33" s="7">
        <v>-108</v>
      </c>
      <c r="B33" s="49" t="str">
        <f>IF(Plussring!E34="","",IF(Plussring!E34=Plussring!B33,Plussring!B35,Plussring!B33))</f>
        <v>Taivo Koitla</v>
      </c>
      <c r="C33" s="49"/>
      <c r="D33" s="49"/>
      <c r="E33" s="16"/>
      <c r="F33" s="10" t="str">
        <f>IF(Mängud!F33="","",Mängud!F33)</f>
        <v>3:0</v>
      </c>
      <c r="G33" s="3"/>
      <c r="H33" s="3"/>
      <c r="I33" s="3"/>
      <c r="J33" s="7">
        <v>-141</v>
      </c>
      <c r="K33" s="70" t="str">
        <f>IF(Plussring!K12="","",IF(Plussring!K12=Plussring!H8,Plussring!H16,Plussring!H8))</f>
        <v>Veiko Ristissaar</v>
      </c>
      <c r="L33" s="70"/>
      <c r="M33" s="70"/>
      <c r="N33" s="3"/>
      <c r="O33" s="3"/>
      <c r="P33" s="3"/>
      <c r="Q33" s="3"/>
      <c r="R33" s="3"/>
      <c r="S33" s="3"/>
      <c r="T33" s="3"/>
      <c r="U33" s="3"/>
      <c r="V33" s="2"/>
    </row>
    <row r="34" spans="1:22" ht="12.75">
      <c r="A34" s="3"/>
      <c r="B34" s="14"/>
      <c r="C34" s="14"/>
      <c r="D34" s="14"/>
      <c r="E34" s="3"/>
      <c r="F34" s="3"/>
      <c r="G34" s="3"/>
      <c r="H34" s="3"/>
      <c r="I34" s="3"/>
      <c r="J34" s="3"/>
      <c r="K34" s="14"/>
      <c r="L34" s="14"/>
      <c r="M34" s="14"/>
      <c r="N34" s="3"/>
      <c r="O34" s="3"/>
      <c r="P34" s="3"/>
      <c r="Q34" s="3"/>
      <c r="R34" s="3"/>
      <c r="S34" s="3"/>
      <c r="T34" s="3"/>
      <c r="U34" s="3"/>
      <c r="V34" s="2"/>
    </row>
    <row r="35" spans="1:22" ht="12.75">
      <c r="A35" s="7">
        <v>-157</v>
      </c>
      <c r="B35" s="49" t="str">
        <f>IF(Plussring!N20="","",IF(Plussring!N20=Plussring!K12,Plussring!K28,Plussring!K12))</f>
        <v>Urmas Sinisalu</v>
      </c>
      <c r="C35" s="49"/>
      <c r="D35" s="49"/>
      <c r="E35" s="3"/>
      <c r="F35" s="3"/>
      <c r="G35" s="3"/>
      <c r="H35" s="3"/>
      <c r="I35" s="3"/>
      <c r="J35" s="3"/>
      <c r="K35" s="3"/>
      <c r="L35" s="3"/>
      <c r="M35" s="7">
        <v>-183</v>
      </c>
      <c r="N35" s="49" t="str">
        <f>IF(E36="","",IF(E36=B35,B37,B35))</f>
        <v>Urmas Sinisalu</v>
      </c>
      <c r="O35" s="49"/>
      <c r="P35" s="49"/>
      <c r="Q35" s="3"/>
      <c r="R35" s="3"/>
      <c r="S35" s="3"/>
      <c r="T35" s="3"/>
      <c r="U35" s="3"/>
      <c r="V35" s="2"/>
    </row>
    <row r="36" spans="1:22" ht="12.75">
      <c r="A36" s="3"/>
      <c r="B36" s="3"/>
      <c r="C36" s="3"/>
      <c r="D36" s="8">
        <v>183</v>
      </c>
      <c r="E36" s="48" t="str">
        <f>IF(Mängud!E84="","",Mängud!E84)</f>
        <v>Andres Somer</v>
      </c>
      <c r="F36" s="48"/>
      <c r="G36" s="48"/>
      <c r="H36" s="3"/>
      <c r="I36" s="3"/>
      <c r="J36" s="3"/>
      <c r="K36" s="3"/>
      <c r="L36" s="3"/>
      <c r="M36" s="3"/>
      <c r="N36" s="3"/>
      <c r="O36" s="3"/>
      <c r="P36" s="8">
        <v>193</v>
      </c>
      <c r="Q36" s="48" t="str">
        <f>IF(Mängud!E94="","",Mängud!E94)</f>
        <v>Urmas Sinisalu</v>
      </c>
      <c r="R36" s="48"/>
      <c r="S36" s="48"/>
      <c r="T36" s="7" t="s">
        <v>11</v>
      </c>
      <c r="U36" s="3"/>
      <c r="V36" s="2"/>
    </row>
    <row r="37" spans="1:22" ht="12.75">
      <c r="A37" s="7">
        <v>173</v>
      </c>
      <c r="B37" s="70" t="str">
        <f>IF(Q11="","",Q11)</f>
        <v>Andres Somer</v>
      </c>
      <c r="C37" s="70"/>
      <c r="D37" s="70"/>
      <c r="E37" s="9"/>
      <c r="F37" s="10" t="str">
        <f>IF(Mängud!F84="","",Mängud!F84)</f>
        <v>3:1</v>
      </c>
      <c r="G37" s="8"/>
      <c r="H37" s="3"/>
      <c r="I37" s="3"/>
      <c r="J37" s="3"/>
      <c r="K37" s="3"/>
      <c r="L37" s="3"/>
      <c r="M37" s="7">
        <v>-184</v>
      </c>
      <c r="N37" s="70" t="str">
        <f>IF(E40="","",IF(E40=B39,B41,B39))</f>
        <v>Keit Reinsalu</v>
      </c>
      <c r="O37" s="70"/>
      <c r="P37" s="70"/>
      <c r="Q37" s="19"/>
      <c r="R37" s="10" t="str">
        <f>IF(Mängud!F94="","",Mängud!F94)</f>
        <v>3:1</v>
      </c>
      <c r="S37" s="3"/>
      <c r="T37" s="3"/>
      <c r="U37" s="3"/>
      <c r="V37" s="2"/>
    </row>
    <row r="38" spans="1:22" ht="12.75">
      <c r="A38" s="3"/>
      <c r="B38" s="3"/>
      <c r="C38" s="3"/>
      <c r="D38" s="3"/>
      <c r="E38" s="3"/>
      <c r="F38" s="3"/>
      <c r="G38" s="11">
        <v>194</v>
      </c>
      <c r="H38" s="48" t="str">
        <f>IF(Mängud!E95="","",Mängud!E95)</f>
        <v>Allan Salla</v>
      </c>
      <c r="I38" s="48"/>
      <c r="J38" s="48"/>
      <c r="K38" s="7" t="s">
        <v>12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2"/>
    </row>
    <row r="39" spans="1:22" ht="12.75">
      <c r="A39" s="7">
        <v>-158</v>
      </c>
      <c r="B39" s="49" t="str">
        <f>IF(Plussring!N52="","",IF(Plussring!N52=Plussring!K44,Plussring!K60,Plussring!K44))</f>
        <v>Allan Salla</v>
      </c>
      <c r="C39" s="49"/>
      <c r="D39" s="49"/>
      <c r="E39" s="3"/>
      <c r="F39" s="3"/>
      <c r="G39" s="11"/>
      <c r="H39" s="9"/>
      <c r="I39" s="10" t="str">
        <f>IF(Mängud!F95="","",Mängud!F95)</f>
        <v>3:1</v>
      </c>
      <c r="J39" s="3"/>
      <c r="K39" s="3"/>
      <c r="L39" s="3"/>
      <c r="M39" s="3"/>
      <c r="N39" s="3"/>
      <c r="O39" s="3"/>
      <c r="P39" s="7">
        <v>-193</v>
      </c>
      <c r="Q39" s="49" t="str">
        <f>IF(Q36="","",IF(Q36=N35,N37,N35))</f>
        <v>Keit Reinsalu</v>
      </c>
      <c r="R39" s="49"/>
      <c r="S39" s="49"/>
      <c r="T39" s="7" t="s">
        <v>13</v>
      </c>
      <c r="U39" s="3"/>
      <c r="V39" s="2"/>
    </row>
    <row r="40" spans="1:22" ht="12.75">
      <c r="A40" s="3"/>
      <c r="B40" s="3"/>
      <c r="C40" s="3"/>
      <c r="D40" s="8">
        <v>184</v>
      </c>
      <c r="E40" s="48" t="str">
        <f>IF(Mängud!E85="","",Mängud!E85)</f>
        <v>Allan Salla</v>
      </c>
      <c r="F40" s="48"/>
      <c r="G40" s="48"/>
      <c r="H40" s="1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2"/>
    </row>
    <row r="41" spans="1:22" ht="12.75">
      <c r="A41" s="7">
        <v>174</v>
      </c>
      <c r="B41" s="70" t="str">
        <f>IF(Q27="","",Q27)</f>
        <v>Keit Reinsalu</v>
      </c>
      <c r="C41" s="70"/>
      <c r="D41" s="70"/>
      <c r="E41" s="9"/>
      <c r="F41" s="10" t="str">
        <f>IF(Mängud!F85="","",Mängud!F85)</f>
        <v>3:1</v>
      </c>
      <c r="G41" s="13"/>
      <c r="H41" s="14"/>
      <c r="I41" s="3"/>
      <c r="J41" s="3"/>
      <c r="K41" s="3"/>
      <c r="L41" s="3"/>
      <c r="M41" s="7">
        <v>-173</v>
      </c>
      <c r="N41" s="49" t="str">
        <f>IF(Q11="","",IF(Q11=N7,N15,N7))</f>
        <v>Jimmy Lindborg</v>
      </c>
      <c r="O41" s="49"/>
      <c r="P41" s="49"/>
      <c r="Q41" s="3"/>
      <c r="R41" s="3"/>
      <c r="S41" s="3"/>
      <c r="T41" s="3"/>
      <c r="U41" s="3"/>
      <c r="V41" s="2"/>
    </row>
    <row r="42" spans="1:22" ht="12.75">
      <c r="A42" s="3"/>
      <c r="B42" s="3"/>
      <c r="C42" s="3"/>
      <c r="D42" s="3"/>
      <c r="E42" s="3"/>
      <c r="F42" s="3"/>
      <c r="G42" s="7">
        <v>-194</v>
      </c>
      <c r="H42" s="49" t="str">
        <f>IF(H38="","",IF(H38=E36,E40,E36))</f>
        <v>Andres Somer</v>
      </c>
      <c r="I42" s="49"/>
      <c r="J42" s="49"/>
      <c r="K42" s="7" t="s">
        <v>14</v>
      </c>
      <c r="L42" s="3"/>
      <c r="M42" s="3"/>
      <c r="N42" s="3"/>
      <c r="O42" s="3"/>
      <c r="P42" s="8">
        <v>192</v>
      </c>
      <c r="Q42" s="48" t="str">
        <f>IF(Mängud!E93="","",Mängud!E93)</f>
        <v>Veiko Ristissaar</v>
      </c>
      <c r="R42" s="48"/>
      <c r="S42" s="48"/>
      <c r="T42" s="7" t="s">
        <v>15</v>
      </c>
      <c r="U42" s="3"/>
      <c r="V42" s="2"/>
    </row>
    <row r="43" spans="1:22" ht="12.75">
      <c r="A43" s="7">
        <v>-163</v>
      </c>
      <c r="B43" s="49" t="str">
        <f>IF(N7="","",IF(N7=K5,K9,K5))</f>
        <v>Imre Korsen</v>
      </c>
      <c r="C43" s="49"/>
      <c r="D43" s="49"/>
      <c r="E43" s="3"/>
      <c r="F43" s="3"/>
      <c r="G43" s="3"/>
      <c r="H43" s="3"/>
      <c r="I43" s="3"/>
      <c r="J43" s="3"/>
      <c r="K43" s="3"/>
      <c r="L43" s="3"/>
      <c r="M43" s="7">
        <v>-174</v>
      </c>
      <c r="N43" s="49" t="str">
        <f>IF(Q27="","",IF(Q27=N23,N31,N23))</f>
        <v>Veiko Ristissaar</v>
      </c>
      <c r="O43" s="49"/>
      <c r="P43" s="49"/>
      <c r="Q43" s="19"/>
      <c r="R43" s="10" t="str">
        <f>IF(Mängud!F93="","",Mängud!F93)</f>
        <v>3:1</v>
      </c>
      <c r="S43" s="3"/>
      <c r="T43" s="3"/>
      <c r="U43" s="3"/>
      <c r="V43" s="2"/>
    </row>
    <row r="44" spans="1:22" ht="12.75">
      <c r="A44" s="3"/>
      <c r="B44" s="3"/>
      <c r="C44" s="3"/>
      <c r="D44" s="8">
        <v>175</v>
      </c>
      <c r="E44" s="48" t="str">
        <f>IF(Mängud!E76="","",Mängud!E76)</f>
        <v>Imre Korsen</v>
      </c>
      <c r="F44" s="48"/>
      <c r="G44" s="48"/>
      <c r="H44" s="1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2"/>
    </row>
    <row r="45" spans="1:22" ht="12.75">
      <c r="A45" s="7">
        <v>-164</v>
      </c>
      <c r="B45" s="49" t="str">
        <f>IF(N15="","",IF(N15=K13,K17,K13))</f>
        <v>Eduard Virkunen</v>
      </c>
      <c r="C45" s="49"/>
      <c r="D45" s="49"/>
      <c r="E45" s="16"/>
      <c r="F45" s="10" t="str">
        <f>IF(Mängud!F76="","",Mängud!F76)</f>
        <v>3:2</v>
      </c>
      <c r="G45" s="3"/>
      <c r="H45" s="12"/>
      <c r="I45" s="3"/>
      <c r="J45" s="3"/>
      <c r="K45" s="3"/>
      <c r="L45" s="3"/>
      <c r="M45" s="3"/>
      <c r="N45" s="3"/>
      <c r="O45" s="3"/>
      <c r="P45" s="7">
        <v>-192</v>
      </c>
      <c r="Q45" s="49" t="str">
        <f>IF(Q42="","",IF(Q42=N41,N43,N41))</f>
        <v>Jimmy Lindborg</v>
      </c>
      <c r="R45" s="49"/>
      <c r="S45" s="49"/>
      <c r="T45" s="7" t="s">
        <v>16</v>
      </c>
      <c r="U45" s="3"/>
      <c r="V45" s="2"/>
    </row>
    <row r="46" spans="1:22" ht="12.75">
      <c r="A46" s="3"/>
      <c r="B46" s="3"/>
      <c r="C46" s="3"/>
      <c r="D46" s="3"/>
      <c r="E46" s="3"/>
      <c r="F46" s="3"/>
      <c r="G46" s="11">
        <v>191</v>
      </c>
      <c r="H46" s="48" t="str">
        <f>IF(Mängud!E92="","",Mängud!E92)</f>
        <v>Vladyslav Rybachok</v>
      </c>
      <c r="I46" s="48"/>
      <c r="J46" s="48"/>
      <c r="K46" s="7" t="s">
        <v>17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2"/>
    </row>
    <row r="47" spans="1:22" ht="12.75">
      <c r="A47" s="7">
        <v>-165</v>
      </c>
      <c r="B47" s="49" t="str">
        <f>IF(N23="","",IF(N23=K21,K25,K21))</f>
        <v>Vladyslav Rybachok</v>
      </c>
      <c r="C47" s="49"/>
      <c r="D47" s="49"/>
      <c r="E47" s="3"/>
      <c r="F47" s="3"/>
      <c r="G47" s="11"/>
      <c r="H47" s="9"/>
      <c r="I47" s="10" t="str">
        <f>IF(Mängud!F92="","",Mängud!F92)</f>
        <v>3:2</v>
      </c>
      <c r="J47" s="3"/>
      <c r="K47" s="3"/>
      <c r="L47" s="3"/>
      <c r="M47" s="7">
        <v>-175</v>
      </c>
      <c r="N47" s="49" t="str">
        <f>IF(E44="","",IF(E44=B43,B45,B43))</f>
        <v>Eduard Virkunen</v>
      </c>
      <c r="O47" s="49"/>
      <c r="P47" s="49"/>
      <c r="Q47" s="3"/>
      <c r="R47" s="3"/>
      <c r="S47" s="3"/>
      <c r="T47" s="3"/>
      <c r="U47" s="3"/>
      <c r="V47" s="2"/>
    </row>
    <row r="48" spans="1:22" ht="12.75">
      <c r="A48" s="3"/>
      <c r="B48" s="3"/>
      <c r="C48" s="3"/>
      <c r="D48" s="8">
        <v>176</v>
      </c>
      <c r="E48" s="50" t="str">
        <f>IF(Mängud!E77="","",Mängud!E77)</f>
        <v>Vladyslav Rybachok</v>
      </c>
      <c r="F48" s="50"/>
      <c r="G48" s="50"/>
      <c r="H48" s="3"/>
      <c r="I48" s="3"/>
      <c r="J48" s="3"/>
      <c r="K48" s="3"/>
      <c r="L48" s="3"/>
      <c r="M48" s="3"/>
      <c r="N48" s="3"/>
      <c r="O48" s="3"/>
      <c r="P48" s="8">
        <v>190</v>
      </c>
      <c r="Q48" s="48" t="str">
        <f>IF(Mängud!E91="","",Mängud!E91)</f>
        <v>Ain Raid</v>
      </c>
      <c r="R48" s="48"/>
      <c r="S48" s="48"/>
      <c r="T48" s="7" t="s">
        <v>18</v>
      </c>
      <c r="U48" s="3"/>
      <c r="V48" s="2"/>
    </row>
    <row r="49" spans="1:22" ht="12.75">
      <c r="A49" s="7">
        <v>-166</v>
      </c>
      <c r="B49" s="70" t="str">
        <f>IF(N31="","",IF(N31=K29,K33,K29))</f>
        <v>Ain Raid</v>
      </c>
      <c r="C49" s="70"/>
      <c r="D49" s="70"/>
      <c r="E49" s="9"/>
      <c r="F49" s="10" t="str">
        <f>IF(Mängud!F77="","",Mängud!F77)</f>
        <v>3:1</v>
      </c>
      <c r="G49" s="3"/>
      <c r="H49" s="3"/>
      <c r="I49" s="3"/>
      <c r="J49" s="3"/>
      <c r="K49" s="3"/>
      <c r="L49" s="3"/>
      <c r="M49" s="7">
        <v>-176</v>
      </c>
      <c r="N49" s="49" t="str">
        <f>IF(E48="","",IF(E48=B47,B49,B47))</f>
        <v>Ain Raid</v>
      </c>
      <c r="O49" s="49"/>
      <c r="P49" s="49"/>
      <c r="Q49" s="19"/>
      <c r="R49" s="10" t="str">
        <f>IF(Mängud!F91="","",Mängud!F91)</f>
        <v>3:1</v>
      </c>
      <c r="S49" s="3"/>
      <c r="T49" s="3"/>
      <c r="U49" s="3"/>
      <c r="V49" s="2"/>
    </row>
    <row r="50" spans="1:22" ht="12.75">
      <c r="A50" s="3"/>
      <c r="B50" s="3"/>
      <c r="C50" s="3"/>
      <c r="D50" s="3"/>
      <c r="E50" s="3"/>
      <c r="F50" s="3"/>
      <c r="G50" s="7">
        <v>-191</v>
      </c>
      <c r="H50" s="49" t="str">
        <f>IF(H46="","",IF(H46=E44,E48,E44))</f>
        <v>Imre Korsen</v>
      </c>
      <c r="I50" s="49"/>
      <c r="J50" s="49"/>
      <c r="K50" s="7" t="s">
        <v>19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2"/>
    </row>
    <row r="51" spans="1:22" ht="12.75">
      <c r="A51" s="7">
        <v>-149</v>
      </c>
      <c r="B51" s="49" t="str">
        <f>IF(K5="","",IF(K5=H3,H7,H3))</f>
        <v>Tõnu Hansar</v>
      </c>
      <c r="C51" s="49"/>
      <c r="D51" s="4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7">
        <v>-190</v>
      </c>
      <c r="Q51" s="49" t="str">
        <f>IF(Q48="","",IF(Q48=N47,N49,N47))</f>
        <v>Eduard Virkunen</v>
      </c>
      <c r="R51" s="49"/>
      <c r="S51" s="49"/>
      <c r="T51" s="7" t="s">
        <v>20</v>
      </c>
      <c r="U51" s="3"/>
      <c r="V51" s="2"/>
    </row>
    <row r="52" spans="1:22" ht="12.75">
      <c r="A52" s="3"/>
      <c r="B52" s="3"/>
      <c r="C52" s="3"/>
      <c r="D52" s="8">
        <v>171</v>
      </c>
      <c r="E52" s="48" t="str">
        <f>IF(Mängud!E72="","",Mängud!E72)</f>
        <v>Heikki Sool</v>
      </c>
      <c r="F52" s="48"/>
      <c r="G52" s="48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2"/>
    </row>
    <row r="53" spans="1:22" ht="12.75">
      <c r="A53" s="7">
        <v>-150</v>
      </c>
      <c r="B53" s="49" t="str">
        <f>IF(K13="","",IF(K13=H11,H15,H11))</f>
        <v>Heikki Sool</v>
      </c>
      <c r="C53" s="49"/>
      <c r="D53" s="49"/>
      <c r="E53" s="16"/>
      <c r="F53" s="10" t="str">
        <f>IF(Mängud!F72="","",Mängud!F72)</f>
        <v>3:0</v>
      </c>
      <c r="G53" s="8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2"/>
    </row>
    <row r="54" spans="1:22" ht="12.75">
      <c r="A54" s="3"/>
      <c r="B54" s="3"/>
      <c r="C54" s="3"/>
      <c r="D54" s="3"/>
      <c r="E54" s="3"/>
      <c r="F54" s="3"/>
      <c r="G54" s="11">
        <v>189</v>
      </c>
      <c r="H54" s="48" t="str">
        <f>IF(Mängud!E90="","",Mängud!E90)</f>
        <v>Kalju Kalda</v>
      </c>
      <c r="I54" s="48"/>
      <c r="J54" s="48"/>
      <c r="K54" s="7" t="s">
        <v>21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2"/>
    </row>
    <row r="55" spans="1:22" ht="12.75">
      <c r="A55" s="7">
        <v>-151</v>
      </c>
      <c r="B55" s="49" t="str">
        <f>IF(K21="","",IF(K21=H19,H23,H19))</f>
        <v>Marko Perendi</v>
      </c>
      <c r="C55" s="49"/>
      <c r="D55" s="49"/>
      <c r="E55" s="3"/>
      <c r="F55" s="3"/>
      <c r="G55" s="11"/>
      <c r="H55" s="9"/>
      <c r="I55" s="10" t="str">
        <f>IF(Mängud!F90="","",Mängud!F90)</f>
        <v>3:2</v>
      </c>
      <c r="J55" s="3"/>
      <c r="K55" s="3"/>
      <c r="L55" s="3"/>
      <c r="M55" s="7">
        <v>-171</v>
      </c>
      <c r="N55" s="49" t="str">
        <f>IF(E52="","",IF(E52=B51,B53,B51))</f>
        <v>Tõnu Hansar</v>
      </c>
      <c r="O55" s="49"/>
      <c r="P55" s="49"/>
      <c r="Q55" s="3"/>
      <c r="R55" s="3"/>
      <c r="S55" s="3"/>
      <c r="T55" s="3"/>
      <c r="U55" s="3"/>
      <c r="V55" s="2"/>
    </row>
    <row r="56" spans="1:22" ht="12.75">
      <c r="A56" s="3"/>
      <c r="B56" s="3"/>
      <c r="C56" s="3"/>
      <c r="D56" s="8">
        <v>172</v>
      </c>
      <c r="E56" s="48" t="str">
        <f>IF(Mängud!E73="","",Mängud!E73)</f>
        <v>Kalju Kalda</v>
      </c>
      <c r="F56" s="48"/>
      <c r="G56" s="48"/>
      <c r="H56" s="12"/>
      <c r="I56" s="3"/>
      <c r="J56" s="3"/>
      <c r="K56" s="3"/>
      <c r="L56" s="3"/>
      <c r="M56" s="3"/>
      <c r="N56" s="3"/>
      <c r="O56" s="3"/>
      <c r="P56" s="8">
        <v>188</v>
      </c>
      <c r="Q56" s="48" t="str">
        <f>IF(Mängud!E89="","",Mängud!E89)</f>
        <v>Marko Perendi</v>
      </c>
      <c r="R56" s="48"/>
      <c r="S56" s="48"/>
      <c r="T56" s="7" t="s">
        <v>22</v>
      </c>
      <c r="U56" s="3"/>
      <c r="V56" s="2"/>
    </row>
    <row r="57" spans="1:22" ht="12.75">
      <c r="A57" s="7">
        <v>-152</v>
      </c>
      <c r="B57" s="49" t="str">
        <f>IF(K29="","",IF(K29=H27,H31,H27))</f>
        <v>Kalju Kalda</v>
      </c>
      <c r="C57" s="49"/>
      <c r="D57" s="49"/>
      <c r="E57" s="16"/>
      <c r="F57" s="10" t="str">
        <f>IF(Mängud!F73="","",Mängud!F73)</f>
        <v>3:0</v>
      </c>
      <c r="G57" s="13"/>
      <c r="H57" s="14"/>
      <c r="I57" s="3"/>
      <c r="J57" s="3"/>
      <c r="K57" s="3"/>
      <c r="L57" s="3"/>
      <c r="M57" s="7">
        <v>-172</v>
      </c>
      <c r="N57" s="70" t="str">
        <f>IF(E56="","",IF(E56=B55,B57,B55))</f>
        <v>Marko Perendi</v>
      </c>
      <c r="O57" s="70"/>
      <c r="P57" s="70"/>
      <c r="Q57" s="9"/>
      <c r="R57" s="10" t="str">
        <f>IF(Mängud!F89="","",Mängud!F89)</f>
        <v>3:2</v>
      </c>
      <c r="S57" s="3"/>
      <c r="T57" s="3"/>
      <c r="U57" s="3"/>
      <c r="V57" s="2"/>
    </row>
    <row r="58" spans="1:22" ht="12.75">
      <c r="A58" s="3"/>
      <c r="B58" s="3"/>
      <c r="C58" s="3"/>
      <c r="D58" s="3"/>
      <c r="E58" s="3"/>
      <c r="F58" s="3"/>
      <c r="G58" s="7">
        <v>-189</v>
      </c>
      <c r="H58" s="49" t="str">
        <f>IF(H54="","",IF(H54=E52,E56,E52))</f>
        <v>Heikki Sool</v>
      </c>
      <c r="I58" s="49"/>
      <c r="J58" s="49"/>
      <c r="K58" s="7" t="s">
        <v>23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2"/>
    </row>
    <row r="59" spans="1:2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7">
        <v>-188</v>
      </c>
      <c r="Q59" s="49" t="str">
        <f>IF(Q56="","",IF(Q56=N55,N57,N55))</f>
        <v>Tõnu Hansar</v>
      </c>
      <c r="R59" s="49"/>
      <c r="S59" s="49"/>
      <c r="T59" s="7" t="s">
        <v>24</v>
      </c>
      <c r="U59" s="3"/>
      <c r="V59" s="2"/>
    </row>
    <row r="60" spans="1:2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2"/>
    </row>
    <row r="61" spans="1:2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2"/>
    </row>
    <row r="62" spans="1:2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2"/>
    </row>
    <row r="63" spans="1:2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2"/>
    </row>
    <row r="64" spans="1:2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2"/>
    </row>
    <row r="65" spans="1:2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2"/>
    </row>
    <row r="66" spans="1:2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2"/>
    </row>
    <row r="67" spans="1:2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2"/>
    </row>
  </sheetData>
  <sheetProtection selectLockedCells="1" selectUnlockedCells="1"/>
  <mergeCells count="94">
    <mergeCell ref="B3:D3"/>
    <mergeCell ref="H3:J3"/>
    <mergeCell ref="E4:G4"/>
    <mergeCell ref="A1:T1"/>
    <mergeCell ref="B5:D5"/>
    <mergeCell ref="K5:M5"/>
    <mergeCell ref="E6:G6"/>
    <mergeCell ref="B7:D7"/>
    <mergeCell ref="H7:J7"/>
    <mergeCell ref="N7:P7"/>
    <mergeCell ref="E8:G8"/>
    <mergeCell ref="B9:D9"/>
    <mergeCell ref="K9:M9"/>
    <mergeCell ref="E10:G10"/>
    <mergeCell ref="B11:D11"/>
    <mergeCell ref="H11:J11"/>
    <mergeCell ref="Q11:S11"/>
    <mergeCell ref="E12:G12"/>
    <mergeCell ref="B13:D13"/>
    <mergeCell ref="K13:M13"/>
    <mergeCell ref="E14:G14"/>
    <mergeCell ref="B15:D15"/>
    <mergeCell ref="H15:J15"/>
    <mergeCell ref="N15:P15"/>
    <mergeCell ref="E16:G16"/>
    <mergeCell ref="B17:D17"/>
    <mergeCell ref="K17:M17"/>
    <mergeCell ref="E18:G18"/>
    <mergeCell ref="B19:D19"/>
    <mergeCell ref="H19:J19"/>
    <mergeCell ref="E20:G20"/>
    <mergeCell ref="B21:D21"/>
    <mergeCell ref="K21:M21"/>
    <mergeCell ref="E22:G22"/>
    <mergeCell ref="B23:D23"/>
    <mergeCell ref="H23:J23"/>
    <mergeCell ref="N23:P23"/>
    <mergeCell ref="E24:G24"/>
    <mergeCell ref="B25:D25"/>
    <mergeCell ref="K25:M25"/>
    <mergeCell ref="E26:G26"/>
    <mergeCell ref="B27:D27"/>
    <mergeCell ref="H27:J27"/>
    <mergeCell ref="Q27:S27"/>
    <mergeCell ref="E28:G28"/>
    <mergeCell ref="B29:D29"/>
    <mergeCell ref="K29:M29"/>
    <mergeCell ref="E30:G30"/>
    <mergeCell ref="B31:D31"/>
    <mergeCell ref="H31:J31"/>
    <mergeCell ref="N31:P31"/>
    <mergeCell ref="E32:G32"/>
    <mergeCell ref="B33:D33"/>
    <mergeCell ref="K33:M33"/>
    <mergeCell ref="B35:D35"/>
    <mergeCell ref="N35:P35"/>
    <mergeCell ref="E36:G36"/>
    <mergeCell ref="Q36:S36"/>
    <mergeCell ref="B37:D37"/>
    <mergeCell ref="N37:P37"/>
    <mergeCell ref="H38:J38"/>
    <mergeCell ref="B39:D39"/>
    <mergeCell ref="Q39:S39"/>
    <mergeCell ref="E40:G40"/>
    <mergeCell ref="B41:D41"/>
    <mergeCell ref="N41:P41"/>
    <mergeCell ref="Q56:S56"/>
    <mergeCell ref="E44:G44"/>
    <mergeCell ref="B45:D45"/>
    <mergeCell ref="Q45:S45"/>
    <mergeCell ref="H46:J46"/>
    <mergeCell ref="B47:D47"/>
    <mergeCell ref="B51:D51"/>
    <mergeCell ref="Q51:S51"/>
    <mergeCell ref="B49:D49"/>
    <mergeCell ref="N49:P49"/>
    <mergeCell ref="N55:P55"/>
    <mergeCell ref="H42:J42"/>
    <mergeCell ref="Q42:S42"/>
    <mergeCell ref="B43:D43"/>
    <mergeCell ref="N43:P43"/>
    <mergeCell ref="N47:P47"/>
    <mergeCell ref="E48:G48"/>
    <mergeCell ref="Q48:S48"/>
    <mergeCell ref="E56:G56"/>
    <mergeCell ref="H50:J50"/>
    <mergeCell ref="B57:D57"/>
    <mergeCell ref="N57:P57"/>
    <mergeCell ref="H58:J58"/>
    <mergeCell ref="Q59:S59"/>
    <mergeCell ref="E52:G52"/>
    <mergeCell ref="B53:D53"/>
    <mergeCell ref="H54:J54"/>
    <mergeCell ref="B55:D55"/>
  </mergeCells>
  <printOptions/>
  <pageMargins left="0.15763888888888888" right="0.15763888888888888" top="0.5798611111111112" bottom="0.15763888888888888" header="0.5118055555555555" footer="0.5118055555555555"/>
  <pageSetup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62"/>
  <sheetViews>
    <sheetView zoomScalePageLayoutView="0" workbookViewId="0" topLeftCell="A22">
      <selection activeCell="G19" sqref="G19"/>
    </sheetView>
  </sheetViews>
  <sheetFormatPr defaultColWidth="9.140625" defaultRowHeight="12.75"/>
  <cols>
    <col min="1" max="1" width="4.140625" style="0" customWidth="1"/>
    <col min="2" max="18" width="5.7109375" style="0" customWidth="1"/>
    <col min="19" max="19" width="5.421875" style="0" customWidth="1"/>
    <col min="20" max="20" width="3.140625" style="0" customWidth="1"/>
  </cols>
  <sheetData>
    <row r="1" spans="1:20" ht="12.75">
      <c r="A1" s="52" t="s">
        <v>103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1" ht="12.75">
      <c r="A2" s="7">
        <v>-133</v>
      </c>
      <c r="B2" s="49" t="str">
        <f>IF('Kohad_3-16'!H3="","",IF('Kohad_3-16'!H3='Kohad_3-16'!E2,'Kohad_3-16'!E4,'Kohad_3-16'!E2))</f>
        <v>Taavi Miku</v>
      </c>
      <c r="C2" s="49"/>
      <c r="D2" s="49"/>
      <c r="E2" s="3"/>
      <c r="F2" s="3"/>
      <c r="G2" s="3"/>
      <c r="H2" s="3"/>
      <c r="I2" s="3"/>
      <c r="J2" s="3"/>
      <c r="O2" s="3"/>
      <c r="P2" s="3"/>
      <c r="Q2" s="3"/>
      <c r="R2" s="3"/>
      <c r="S2" s="3"/>
      <c r="T2" s="3"/>
      <c r="U2" s="3"/>
    </row>
    <row r="3" spans="1:21" ht="12.75">
      <c r="A3" s="3"/>
      <c r="B3" s="3"/>
      <c r="C3" s="3"/>
      <c r="D3" s="8">
        <v>153</v>
      </c>
      <c r="E3" s="48" t="str">
        <f>IF(Mängud!E54="","",Mängud!E54)</f>
        <v>Reino Ristissaar</v>
      </c>
      <c r="F3" s="48"/>
      <c r="G3" s="4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>
      <c r="A4" s="7">
        <v>-134</v>
      </c>
      <c r="B4" s="70" t="str">
        <f>IF('Kohad_3-16'!H7="","",IF('Kohad_3-16'!H7='Kohad_3-16'!E6,'Kohad_3-16'!E8,'Kohad_3-16'!E6))</f>
        <v>Reino Ristissaar</v>
      </c>
      <c r="C4" s="70"/>
      <c r="D4" s="70"/>
      <c r="E4" s="9"/>
      <c r="F4" s="10" t="str">
        <f>IF(Mängud!F54="","",Mängud!F54)</f>
        <v>3:0</v>
      </c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2.75">
      <c r="A5" s="3"/>
      <c r="B5" s="3"/>
      <c r="C5" s="3"/>
      <c r="D5" s="3"/>
      <c r="E5" s="3"/>
      <c r="F5" s="3"/>
      <c r="G5" s="11">
        <v>169</v>
      </c>
      <c r="H5" s="48" t="str">
        <f>IF(Mängud!E70="","",Mängud!E70)</f>
        <v>Reino Ristissaar</v>
      </c>
      <c r="I5" s="48"/>
      <c r="J5" s="48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>
      <c r="A6" s="7">
        <v>-135</v>
      </c>
      <c r="B6" s="49" t="str">
        <f>IF('Kohad_3-16'!H11="","",IF('Kohad_3-16'!H11='Kohad_3-16'!E10,'Kohad_3-16'!E12,'Kohad_3-16'!E10))</f>
        <v>Hannes Lepik</v>
      </c>
      <c r="C6" s="49"/>
      <c r="D6" s="49"/>
      <c r="E6" s="3"/>
      <c r="F6" s="3"/>
      <c r="G6" s="11"/>
      <c r="H6" s="9"/>
      <c r="I6" s="10" t="str">
        <f>IF(Mängud!F70="","",Mängud!F70)</f>
        <v>3:2</v>
      </c>
      <c r="J6" s="8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2.75">
      <c r="A7" s="3"/>
      <c r="B7" s="3"/>
      <c r="C7" s="3"/>
      <c r="D7" s="8">
        <v>154</v>
      </c>
      <c r="E7" s="48" t="str">
        <f>IF(Mängud!E55="","",Mängud!E55)</f>
        <v>Raigo Rommot</v>
      </c>
      <c r="F7" s="48"/>
      <c r="G7" s="48"/>
      <c r="H7" s="12"/>
      <c r="I7" s="3"/>
      <c r="J7" s="11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2.75">
      <c r="A8" s="7">
        <v>-136</v>
      </c>
      <c r="B8" s="49" t="str">
        <f>IF('Kohad_3-16'!H15="","",IF('Kohad_3-16'!H15='Kohad_3-16'!E14,'Kohad_3-16'!E16,'Kohad_3-16'!E14))</f>
        <v>Raigo Rommot</v>
      </c>
      <c r="C8" s="49"/>
      <c r="D8" s="49"/>
      <c r="E8" s="16"/>
      <c r="F8" s="10" t="str">
        <f>IF(Mängud!F55="","",Mängud!F55)</f>
        <v>3:0</v>
      </c>
      <c r="G8" s="13"/>
      <c r="H8" s="14"/>
      <c r="I8" s="3"/>
      <c r="J8" s="11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2.75">
      <c r="A9" s="3"/>
      <c r="B9" s="3"/>
      <c r="C9" s="3"/>
      <c r="D9" s="3"/>
      <c r="E9" s="3"/>
      <c r="F9" s="3"/>
      <c r="G9" s="3"/>
      <c r="H9" s="3"/>
      <c r="I9" s="3"/>
      <c r="J9" s="11">
        <v>187</v>
      </c>
      <c r="K9" s="48" t="str">
        <f>IF(Mängud!E88="","",Mängud!E88)</f>
        <v>Reino Ristissaar</v>
      </c>
      <c r="L9" s="48"/>
      <c r="M9" s="48"/>
      <c r="N9" s="7" t="s">
        <v>25</v>
      </c>
      <c r="O9" s="3"/>
      <c r="P9" s="3"/>
      <c r="Q9" s="3"/>
      <c r="R9" s="3"/>
      <c r="S9" s="3"/>
      <c r="T9" s="3"/>
      <c r="U9" s="3"/>
    </row>
    <row r="10" spans="1:21" ht="12.75">
      <c r="A10" s="7">
        <v>-137</v>
      </c>
      <c r="B10" s="49" t="str">
        <f>IF('Kohad_3-16'!H19="","",IF('Kohad_3-16'!H19='Kohad_3-16'!E18,'Kohad_3-16'!E20,'Kohad_3-16'!E18))</f>
        <v>Kalle Kuuspalu</v>
      </c>
      <c r="C10" s="49"/>
      <c r="D10" s="49"/>
      <c r="E10" s="3"/>
      <c r="F10" s="3"/>
      <c r="G10" s="3"/>
      <c r="H10" s="3"/>
      <c r="I10" s="3"/>
      <c r="J10" s="11"/>
      <c r="K10" s="9"/>
      <c r="L10" s="10" t="str">
        <f>IF(Mängud!F88="","",Mängud!F88)</f>
        <v>3:1</v>
      </c>
      <c r="M10" s="3"/>
      <c r="N10" s="3"/>
      <c r="O10" s="3"/>
      <c r="P10" s="3"/>
      <c r="Q10" s="3"/>
      <c r="R10" s="3"/>
      <c r="S10" s="3"/>
      <c r="T10" s="3"/>
      <c r="U10" s="3"/>
    </row>
    <row r="11" spans="1:21" ht="12.75">
      <c r="A11" s="3"/>
      <c r="B11" s="3"/>
      <c r="C11" s="3"/>
      <c r="D11" s="8">
        <v>155</v>
      </c>
      <c r="E11" s="48" t="str">
        <f>IF(Mängud!E56="","",Mängud!E56)</f>
        <v>Kalle Kuuspalu</v>
      </c>
      <c r="F11" s="48"/>
      <c r="G11" s="48"/>
      <c r="H11" s="3"/>
      <c r="I11" s="3"/>
      <c r="J11" s="1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2.75">
      <c r="A12" s="7">
        <v>-138</v>
      </c>
      <c r="B12" s="70" t="str">
        <f>IF('Kohad_3-16'!H23="","",IF('Kohad_3-16'!H23='Kohad_3-16'!E22,'Kohad_3-16'!E24,'Kohad_3-16'!E22))</f>
        <v>Raivo Roots</v>
      </c>
      <c r="C12" s="70"/>
      <c r="D12" s="70"/>
      <c r="E12" s="9"/>
      <c r="F12" s="10" t="str">
        <f>IF(Mängud!F56="","",Mängud!F56)</f>
        <v>3:0</v>
      </c>
      <c r="G12" s="8"/>
      <c r="H12" s="3"/>
      <c r="I12" s="3"/>
      <c r="J12" s="1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2.75">
      <c r="A13" s="3"/>
      <c r="B13" s="3"/>
      <c r="C13" s="3"/>
      <c r="D13" s="3"/>
      <c r="E13" s="3"/>
      <c r="F13" s="3"/>
      <c r="G13" s="11">
        <v>170</v>
      </c>
      <c r="H13" s="48" t="str">
        <f>IF(Mängud!E71="","",Mängud!E71)</f>
        <v>Kalle Kuuspalu</v>
      </c>
      <c r="I13" s="48"/>
      <c r="J13" s="48"/>
      <c r="K13" s="12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2.75">
      <c r="A14" s="7">
        <v>-139</v>
      </c>
      <c r="B14" s="49" t="str">
        <f>IF('Kohad_3-16'!H27="","",IF('Kohad_3-16'!H27='Kohad_3-16'!E26,'Kohad_3-16'!E28,'Kohad_3-16'!E26))</f>
        <v>Arvi Merigan</v>
      </c>
      <c r="C14" s="49"/>
      <c r="D14" s="49"/>
      <c r="E14" s="3"/>
      <c r="F14" s="3"/>
      <c r="G14" s="11"/>
      <c r="H14" s="9"/>
      <c r="I14" s="10" t="str">
        <f>IF(Mängud!F71="","",Mängud!F71)</f>
        <v>3:0</v>
      </c>
      <c r="J14" s="13"/>
      <c r="K14" s="14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2.75">
      <c r="A15" s="3"/>
      <c r="B15" s="3"/>
      <c r="C15" s="3"/>
      <c r="D15" s="8">
        <v>156</v>
      </c>
      <c r="E15" s="48" t="str">
        <f>IF(Mängud!E57="","",Mängud!E57)</f>
        <v>Arvi Merigan</v>
      </c>
      <c r="F15" s="48"/>
      <c r="G15" s="48"/>
      <c r="H15" s="1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7">
        <v>-140</v>
      </c>
      <c r="B16" s="49" t="str">
        <f>IF('Kohad_3-16'!H31="","",IF('Kohad_3-16'!H31='Kohad_3-16'!E30,'Kohad_3-16'!E32,'Kohad_3-16'!E30))</f>
        <v>Alex Rahuoja</v>
      </c>
      <c r="C16" s="49"/>
      <c r="D16" s="49"/>
      <c r="E16" s="16"/>
      <c r="F16" s="10" t="str">
        <f>IF(Mängud!F57="","",Mängud!F57)</f>
        <v>3:0</v>
      </c>
      <c r="G16" s="13"/>
      <c r="H16" s="14"/>
      <c r="I16" s="3"/>
      <c r="J16" s="7">
        <v>-187</v>
      </c>
      <c r="K16" s="49" t="str">
        <f>IF(K9="","",IF(K9=H5,H13,H5))</f>
        <v>Kalle Kuuspalu</v>
      </c>
      <c r="L16" s="49"/>
      <c r="M16" s="49"/>
      <c r="N16" s="7" t="s">
        <v>26</v>
      </c>
      <c r="O16" s="3"/>
      <c r="P16" s="3"/>
      <c r="Q16" s="3"/>
      <c r="R16" s="3"/>
      <c r="S16" s="3"/>
      <c r="T16" s="3"/>
      <c r="U16" s="3"/>
    </row>
    <row r="17" spans="1:2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7">
        <v>-169</v>
      </c>
      <c r="N18" s="49" t="str">
        <f>IF(H5="","",IF(H5=E3,E7,E3))</f>
        <v>Raigo Rommot</v>
      </c>
      <c r="O18" s="49"/>
      <c r="P18" s="49"/>
      <c r="Q18" s="3"/>
      <c r="R18" s="3"/>
      <c r="S18" s="3"/>
      <c r="T18" s="3"/>
      <c r="U18" s="3"/>
    </row>
    <row r="19" spans="1:2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8">
        <v>186</v>
      </c>
      <c r="Q19" s="48" t="str">
        <f>IF(Mängud!E87="","",Mängud!E87)</f>
        <v>Raigo Rommot</v>
      </c>
      <c r="R19" s="48"/>
      <c r="S19" s="48"/>
      <c r="T19" s="7" t="s">
        <v>27</v>
      </c>
      <c r="U19" s="3"/>
    </row>
    <row r="20" spans="1:21" ht="12.75">
      <c r="A20" s="7">
        <v>-153</v>
      </c>
      <c r="B20" s="49" t="str">
        <f>IF(E3="","",IF(E3=B2,B4,B2))</f>
        <v>Taavi Miku</v>
      </c>
      <c r="C20" s="49"/>
      <c r="D20" s="49"/>
      <c r="E20" s="3"/>
      <c r="F20" s="3"/>
      <c r="G20" s="3"/>
      <c r="H20" s="3"/>
      <c r="I20" s="3"/>
      <c r="J20" s="3"/>
      <c r="K20" s="3"/>
      <c r="L20" s="3"/>
      <c r="M20" s="7">
        <v>-170</v>
      </c>
      <c r="N20" s="49" t="str">
        <f>IF(H13="","",IF(H13=E11,E15,E11))</f>
        <v>Arvi Merigan</v>
      </c>
      <c r="O20" s="49"/>
      <c r="P20" s="49"/>
      <c r="Q20" s="16"/>
      <c r="R20" s="10" t="str">
        <f>IF(Mängud!F87="","",Mängud!F87)</f>
        <v>3:2</v>
      </c>
      <c r="S20" s="3"/>
      <c r="T20" s="3"/>
      <c r="U20" s="3"/>
    </row>
    <row r="21" spans="1:21" ht="12.75">
      <c r="A21" s="3"/>
      <c r="B21" s="3"/>
      <c r="C21" s="3"/>
      <c r="D21" s="8">
        <v>167</v>
      </c>
      <c r="E21" s="48" t="str">
        <f>IF(Mängud!E68="","",Mängud!E68)</f>
        <v>Taavi Miku</v>
      </c>
      <c r="F21" s="48"/>
      <c r="G21" s="48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7">
        <v>-154</v>
      </c>
      <c r="B22" s="70" t="str">
        <f>IF(E7="","",IF(E7=B6,B8,B6))</f>
        <v>Hannes Lepik</v>
      </c>
      <c r="C22" s="70"/>
      <c r="D22" s="70"/>
      <c r="E22" s="9"/>
      <c r="F22" s="10" t="str">
        <f>IF(Mängud!F68="","",Mängud!F68)</f>
        <v>3:0</v>
      </c>
      <c r="G22" s="8"/>
      <c r="H22" s="3"/>
      <c r="I22" s="3"/>
      <c r="J22" s="3"/>
      <c r="K22" s="3"/>
      <c r="L22" s="3"/>
      <c r="M22" s="3"/>
      <c r="N22" s="3"/>
      <c r="O22" s="3"/>
      <c r="P22" s="7">
        <v>-186</v>
      </c>
      <c r="Q22" s="49" t="str">
        <f>IF(Q19="","",IF(Q19=N18,N20,N18))</f>
        <v>Arvi Merigan</v>
      </c>
      <c r="R22" s="49"/>
      <c r="S22" s="49"/>
      <c r="T22" s="7" t="s">
        <v>28</v>
      </c>
      <c r="U22" s="3"/>
    </row>
    <row r="23" spans="1:21" ht="12.75">
      <c r="A23" s="3"/>
      <c r="B23" s="3"/>
      <c r="C23" s="3"/>
      <c r="D23" s="3"/>
      <c r="E23" s="3"/>
      <c r="F23" s="3"/>
      <c r="G23" s="11">
        <v>185</v>
      </c>
      <c r="H23" s="48" t="str">
        <f>IF(Mängud!E86="","",Mängud!E86)</f>
        <v>Alex Rahuoja</v>
      </c>
      <c r="I23" s="48"/>
      <c r="J23" s="48"/>
      <c r="K23" s="7" t="s">
        <v>29</v>
      </c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7">
        <v>-155</v>
      </c>
      <c r="B24" s="49" t="str">
        <f>IF(E11="","",IF(E11=B10,B12,B10))</f>
        <v>Raivo Roots</v>
      </c>
      <c r="C24" s="49"/>
      <c r="D24" s="49"/>
      <c r="E24" s="3"/>
      <c r="F24" s="3"/>
      <c r="G24" s="11"/>
      <c r="H24" s="9"/>
      <c r="I24" s="10" t="str">
        <f>IF(Mängud!F86="","",Mängud!F86)</f>
        <v>3:0</v>
      </c>
      <c r="J24" s="3"/>
      <c r="K24" s="3"/>
      <c r="L24" s="14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"/>
      <c r="B25" s="3"/>
      <c r="C25" s="3"/>
      <c r="D25" s="8">
        <v>168</v>
      </c>
      <c r="E25" s="50" t="str">
        <f>IF(Mängud!E69="","",Mängud!E69)</f>
        <v>Alex Rahuoja</v>
      </c>
      <c r="F25" s="50"/>
      <c r="G25" s="5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7">
        <v>-156</v>
      </c>
      <c r="B26" s="70" t="str">
        <f>IF(E15="","",IF(E15=B14,B16,B14))</f>
        <v>Alex Rahuoja</v>
      </c>
      <c r="C26" s="70"/>
      <c r="D26" s="70"/>
      <c r="E26" s="9"/>
      <c r="F26" s="10" t="str">
        <f>IF(Mängud!F69="","",Mängud!F69)</f>
        <v>3:0</v>
      </c>
      <c r="G26" s="13"/>
      <c r="H26" s="1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3"/>
      <c r="B27" s="3"/>
      <c r="C27" s="3"/>
      <c r="D27" s="3"/>
      <c r="E27" s="3"/>
      <c r="F27" s="3"/>
      <c r="G27" s="7">
        <v>-185</v>
      </c>
      <c r="H27" s="49" t="str">
        <f>IF(H23="","",IF(H23=E21,E25,E21))</f>
        <v>Taavi Miku</v>
      </c>
      <c r="I27" s="49"/>
      <c r="J27" s="49"/>
      <c r="K27" s="7" t="s">
        <v>30</v>
      </c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7">
        <v>-167</v>
      </c>
      <c r="N29" s="49" t="str">
        <f>IF(E21="","",IF(E21=B20,B22,B20))</f>
        <v>Hannes Lepik</v>
      </c>
      <c r="O29" s="49"/>
      <c r="P29" s="49"/>
      <c r="Q29" s="3"/>
      <c r="R29" s="3"/>
      <c r="S29" s="3"/>
      <c r="T29" s="3"/>
      <c r="U29" s="3"/>
    </row>
    <row r="30" spans="1:21" ht="12.75">
      <c r="A30" s="7">
        <v>-125</v>
      </c>
      <c r="B30" s="49" t="str">
        <f>IF('Kohad_3-16'!E4="","",IF('Kohad_3-16'!E4='Kohad_3-16'!B3,'Kohad_3-16'!B5,'Kohad_3-16'!B3))</f>
        <v>Jako Lill</v>
      </c>
      <c r="C30" s="49"/>
      <c r="D30" s="49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8">
        <v>182</v>
      </c>
      <c r="Q30" s="48" t="str">
        <f>IF(Mängud!E83="","",Mängud!E83)</f>
        <v>Hannes Lepik</v>
      </c>
      <c r="R30" s="48"/>
      <c r="S30" s="48"/>
      <c r="T30" s="7" t="s">
        <v>31</v>
      </c>
      <c r="U30" s="3"/>
    </row>
    <row r="31" spans="1:21" ht="12.75">
      <c r="A31" s="3"/>
      <c r="B31" s="3"/>
      <c r="C31" s="3"/>
      <c r="D31" s="8">
        <v>145</v>
      </c>
      <c r="E31" s="48" t="str">
        <f>IF(Mängud!E46="","",Mängud!E46)</f>
        <v>Anatoli Zapunov</v>
      </c>
      <c r="F31" s="48"/>
      <c r="G31" s="48"/>
      <c r="H31" s="3"/>
      <c r="I31" s="3"/>
      <c r="J31" s="3"/>
      <c r="K31" s="3"/>
      <c r="L31" s="3"/>
      <c r="M31" s="7">
        <v>-168</v>
      </c>
      <c r="N31" s="49" t="str">
        <f>IF(E25="","",IF(E25=B24,B26,B24))</f>
        <v>Raivo Roots</v>
      </c>
      <c r="O31" s="49"/>
      <c r="P31" s="49"/>
      <c r="Q31" s="16"/>
      <c r="R31" s="10" t="str">
        <f>IF(Mängud!F83="","",Mängud!F83)</f>
        <v>3:0</v>
      </c>
      <c r="S31" s="3"/>
      <c r="T31" s="3"/>
      <c r="U31" s="3"/>
    </row>
    <row r="32" spans="1:21" ht="12.75">
      <c r="A32" s="7">
        <v>-126</v>
      </c>
      <c r="B32" s="49" t="str">
        <f>IF('Kohad_3-16'!E8="","",IF('Kohad_3-16'!E8='Kohad_3-16'!B7,'Kohad_3-16'!B9,'Kohad_3-16'!B7))</f>
        <v>Anatoli Zapunov</v>
      </c>
      <c r="C32" s="49"/>
      <c r="D32" s="49"/>
      <c r="E32" s="16"/>
      <c r="F32" s="10" t="str">
        <f>IF(Mängud!F46="","",Mängud!F46)</f>
        <v>3:0</v>
      </c>
      <c r="G32" s="8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.75">
      <c r="A33" s="3"/>
      <c r="B33" s="3"/>
      <c r="C33" s="3"/>
      <c r="D33" s="3"/>
      <c r="E33" s="3"/>
      <c r="F33" s="3"/>
      <c r="G33" s="11">
        <v>161</v>
      </c>
      <c r="H33" s="48" t="str">
        <f>IF(Mängud!E62="","",Mängud!E62)</f>
        <v>Heiki Hansar</v>
      </c>
      <c r="I33" s="48"/>
      <c r="J33" s="48"/>
      <c r="K33" s="3"/>
      <c r="L33" s="3"/>
      <c r="M33" s="3"/>
      <c r="N33" s="3"/>
      <c r="O33" s="3"/>
      <c r="P33" s="7">
        <v>-182</v>
      </c>
      <c r="Q33" s="49" t="str">
        <f>IF(Q30="","",IF(Q30=N29,N31,N29))</f>
        <v>Raivo Roots</v>
      </c>
      <c r="R33" s="49"/>
      <c r="S33" s="49"/>
      <c r="T33" s="7" t="s">
        <v>32</v>
      </c>
      <c r="U33" s="3"/>
    </row>
    <row r="34" spans="1:21" ht="12.75">
      <c r="A34" s="7">
        <v>-127</v>
      </c>
      <c r="B34" s="49" t="str">
        <f>IF('Kohad_3-16'!E12="","",IF('Kohad_3-16'!E12='Kohad_3-16'!B11,'Kohad_3-16'!B13,'Kohad_3-16'!B11))</f>
        <v>Heiki Hansar</v>
      </c>
      <c r="C34" s="49"/>
      <c r="D34" s="49"/>
      <c r="E34" s="3"/>
      <c r="F34" s="3"/>
      <c r="G34" s="11"/>
      <c r="H34" s="9"/>
      <c r="I34" s="10" t="str">
        <f>IF(Mängud!F62="","",Mängud!F62)</f>
        <v>3:1</v>
      </c>
      <c r="J34" s="8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"/>
      <c r="B35" s="3"/>
      <c r="C35" s="3"/>
      <c r="D35" s="8">
        <v>146</v>
      </c>
      <c r="E35" s="50" t="str">
        <f>IF(Mängud!E47="","",Mängud!E47)</f>
        <v>Heiki Hansar</v>
      </c>
      <c r="F35" s="50"/>
      <c r="G35" s="50"/>
      <c r="H35" s="3"/>
      <c r="I35" s="3"/>
      <c r="J35" s="11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7">
        <v>-128</v>
      </c>
      <c r="B36" s="70" t="str">
        <f>IF('Kohad_3-16'!E16="","",IF('Kohad_3-16'!E16='Kohad_3-16'!B15,'Kohad_3-16'!B17,'Kohad_3-16'!B15))</f>
        <v>Bye Bye</v>
      </c>
      <c r="C36" s="70"/>
      <c r="D36" s="70"/>
      <c r="E36" s="9"/>
      <c r="F36" s="10" t="str">
        <f>IF(Mängud!F47="","",Mängud!F47)</f>
        <v>w.o.</v>
      </c>
      <c r="G36" s="13"/>
      <c r="H36" s="14"/>
      <c r="I36" s="3"/>
      <c r="J36" s="11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"/>
      <c r="B37" s="3"/>
      <c r="C37" s="3"/>
      <c r="D37" s="3"/>
      <c r="E37" s="3"/>
      <c r="F37" s="3"/>
      <c r="G37" s="3"/>
      <c r="H37" s="3"/>
      <c r="I37" s="3"/>
      <c r="J37" s="11">
        <v>181</v>
      </c>
      <c r="K37" s="48" t="str">
        <f>IF(Mängud!E82="","",Mängud!E82)</f>
        <v>Joosep Hansar</v>
      </c>
      <c r="L37" s="48"/>
      <c r="M37" s="48"/>
      <c r="N37" s="7" t="s">
        <v>33</v>
      </c>
      <c r="O37" s="3"/>
      <c r="P37" s="3"/>
      <c r="Q37" s="3"/>
      <c r="R37" s="3"/>
      <c r="S37" s="3"/>
      <c r="T37" s="3"/>
      <c r="U37" s="3"/>
    </row>
    <row r="38" spans="1:21" ht="12.75">
      <c r="A38" s="7">
        <v>-129</v>
      </c>
      <c r="B38" s="49" t="str">
        <f>IF('Kohad_3-16'!E20="","",IF('Kohad_3-16'!E20='Kohad_3-16'!B19,'Kohad_3-16'!B21,'Kohad_3-16'!B19))</f>
        <v>Bye Bye</v>
      </c>
      <c r="C38" s="49"/>
      <c r="D38" s="49"/>
      <c r="E38" s="3"/>
      <c r="F38" s="3"/>
      <c r="G38" s="3"/>
      <c r="H38" s="3"/>
      <c r="I38" s="3"/>
      <c r="J38" s="11"/>
      <c r="K38" s="9"/>
      <c r="L38" s="10" t="str">
        <f>IF(Mängud!F82="","",Mängud!F82)</f>
        <v>3:2</v>
      </c>
      <c r="M38" s="3"/>
      <c r="N38" s="3"/>
      <c r="O38" s="3"/>
      <c r="P38" s="3"/>
      <c r="Q38" s="3"/>
      <c r="R38" s="3"/>
      <c r="S38" s="3"/>
      <c r="T38" s="3"/>
      <c r="U38" s="3"/>
    </row>
    <row r="39" spans="1:21" ht="12.75">
      <c r="A39" s="3"/>
      <c r="B39" s="3"/>
      <c r="C39" s="3"/>
      <c r="D39" s="8">
        <v>147</v>
      </c>
      <c r="E39" s="48" t="str">
        <f>IF(Mängud!E48="","",Mängud!E48)</f>
        <v>Joosep Hansar</v>
      </c>
      <c r="F39" s="48"/>
      <c r="G39" s="48"/>
      <c r="H39" s="3"/>
      <c r="I39" s="3"/>
      <c r="J39" s="11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>
      <c r="A40" s="7">
        <v>-130</v>
      </c>
      <c r="B40" s="49" t="str">
        <f>IF('Kohad_3-16'!E24="","",IF('Kohad_3-16'!E24='Kohad_3-16'!B23,'Kohad_3-16'!B25,'Kohad_3-16'!B23))</f>
        <v>Joosep Hansar</v>
      </c>
      <c r="C40" s="49"/>
      <c r="D40" s="49"/>
      <c r="E40" s="16"/>
      <c r="F40" s="10" t="str">
        <f>IF(Mängud!F48="","",Mängud!F48)</f>
        <v>w.o.</v>
      </c>
      <c r="G40" s="8"/>
      <c r="H40" s="3"/>
      <c r="I40" s="3"/>
      <c r="J40" s="11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3"/>
      <c r="B41" s="3"/>
      <c r="C41" s="3"/>
      <c r="D41" s="3"/>
      <c r="E41" s="3"/>
      <c r="F41" s="3"/>
      <c r="G41" s="11">
        <v>162</v>
      </c>
      <c r="H41" s="48" t="str">
        <f>IF(Mängud!E63="","",Mängud!E63)</f>
        <v>Joosep Hansar</v>
      </c>
      <c r="I41" s="48"/>
      <c r="J41" s="48"/>
      <c r="K41" s="12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>
      <c r="A42" s="7">
        <v>-131</v>
      </c>
      <c r="B42" s="49" t="str">
        <f>IF('Kohad_3-16'!E28="","",IF('Kohad_3-16'!E28='Kohad_3-16'!B27,'Kohad_3-16'!B29,'Kohad_3-16'!B27))</f>
        <v>Aivar Soo</v>
      </c>
      <c r="C42" s="49"/>
      <c r="D42" s="49"/>
      <c r="E42" s="3"/>
      <c r="F42" s="3"/>
      <c r="G42" s="11"/>
      <c r="H42" s="9"/>
      <c r="I42" s="10" t="str">
        <f>IF(Mängud!F63="","",Mängud!F63)</f>
        <v>3:1</v>
      </c>
      <c r="J42" s="13"/>
      <c r="K42" s="14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>
      <c r="A43" s="3"/>
      <c r="B43" s="3"/>
      <c r="C43" s="3"/>
      <c r="D43" s="8">
        <v>148</v>
      </c>
      <c r="E43" s="50" t="str">
        <f>IF(Mängud!E49="","",Mängud!E49)</f>
        <v>Aivar Soo</v>
      </c>
      <c r="F43" s="50"/>
      <c r="G43" s="50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>
      <c r="A44" s="7">
        <v>-132</v>
      </c>
      <c r="B44" s="70" t="str">
        <f>IF('Kohad_3-16'!E32="","",IF('Kohad_3-16'!E32='Kohad_3-16'!B31,'Kohad_3-16'!B33,'Kohad_3-16'!B31))</f>
        <v>Taivo Koitla</v>
      </c>
      <c r="C44" s="70"/>
      <c r="D44" s="70"/>
      <c r="E44" s="9"/>
      <c r="F44" s="10" t="str">
        <f>IF(Mängud!F49="","",Mängud!F49)</f>
        <v>3:0</v>
      </c>
      <c r="G44" s="13"/>
      <c r="H44" s="14"/>
      <c r="I44" s="3"/>
      <c r="J44" s="7">
        <v>-181</v>
      </c>
      <c r="K44" s="49" t="str">
        <f>IF(K37="","",IF(K37=H33,H41,H33))</f>
        <v>Heiki Hansar</v>
      </c>
      <c r="L44" s="49"/>
      <c r="M44" s="49"/>
      <c r="N44" s="7" t="s">
        <v>34</v>
      </c>
      <c r="O44" s="3"/>
      <c r="P44" s="3"/>
      <c r="Q44" s="3"/>
      <c r="R44" s="3"/>
      <c r="S44" s="3"/>
      <c r="T44" s="3"/>
      <c r="U44" s="3"/>
    </row>
    <row r="45" spans="1:2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7">
        <v>-161</v>
      </c>
      <c r="N46" s="49" t="str">
        <f>IF(H33="","",IF(H33=E31,E35,E31))</f>
        <v>Anatoli Zapunov</v>
      </c>
      <c r="O46" s="49"/>
      <c r="P46" s="49"/>
      <c r="Q46" s="3"/>
      <c r="R46" s="3"/>
      <c r="S46" s="3"/>
      <c r="T46" s="3"/>
      <c r="U46" s="3"/>
    </row>
    <row r="47" spans="1:2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8">
        <v>180</v>
      </c>
      <c r="Q47" s="48" t="str">
        <f>IF(Mängud!E81="","",Mängud!E81)</f>
        <v>Aivar Soo</v>
      </c>
      <c r="R47" s="48"/>
      <c r="S47" s="48"/>
      <c r="T47" s="7" t="s">
        <v>35</v>
      </c>
      <c r="U47" s="3"/>
    </row>
    <row r="48" spans="1:21" ht="12.75">
      <c r="A48" s="7">
        <v>-145</v>
      </c>
      <c r="B48" s="49" t="str">
        <f>IF(E31="","",IF(E31=B30,B32,B30))</f>
        <v>Jako Lill</v>
      </c>
      <c r="C48" s="49"/>
      <c r="D48" s="49"/>
      <c r="E48" s="3"/>
      <c r="F48" s="3"/>
      <c r="G48" s="3"/>
      <c r="H48" s="3"/>
      <c r="I48" s="3"/>
      <c r="J48" s="3"/>
      <c r="K48" s="3"/>
      <c r="L48" s="3"/>
      <c r="M48" s="7">
        <v>-162</v>
      </c>
      <c r="N48" s="70" t="str">
        <f>IF(H41="","",IF(H41=E39,E43,E39))</f>
        <v>Aivar Soo</v>
      </c>
      <c r="O48" s="70"/>
      <c r="P48" s="70"/>
      <c r="Q48" s="9"/>
      <c r="R48" s="10" t="str">
        <f>IF(Mängud!F81="","",Mängud!F81)</f>
        <v>3:0</v>
      </c>
      <c r="S48" s="3"/>
      <c r="T48" s="3"/>
      <c r="U48" s="3"/>
    </row>
    <row r="49" spans="1:21" ht="12.75">
      <c r="A49" s="3"/>
      <c r="B49" s="3"/>
      <c r="C49" s="3"/>
      <c r="D49" s="8">
        <v>159</v>
      </c>
      <c r="E49" s="48" t="str">
        <f>IF(Mängud!E60="","",Mängud!E60)</f>
        <v>Jako Lill</v>
      </c>
      <c r="F49" s="48"/>
      <c r="G49" s="48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>
      <c r="A50" s="7">
        <v>-146</v>
      </c>
      <c r="B50" s="70" t="str">
        <f>IF(E35="","",IF(E35=B34,B36,B34))</f>
        <v>Bye Bye</v>
      </c>
      <c r="C50" s="70"/>
      <c r="D50" s="70"/>
      <c r="E50" s="9"/>
      <c r="F50" s="10" t="str">
        <f>IF(Mängud!F60="","",Mängud!F60)</f>
        <v>w.o.</v>
      </c>
      <c r="G50" s="8"/>
      <c r="H50" s="3"/>
      <c r="I50" s="3"/>
      <c r="J50" s="3"/>
      <c r="K50" s="3"/>
      <c r="L50" s="3"/>
      <c r="M50" s="3"/>
      <c r="N50" s="3"/>
      <c r="O50" s="3"/>
      <c r="P50" s="7">
        <v>-180</v>
      </c>
      <c r="Q50" s="49" t="str">
        <f>IF(Q47="","",IF(Q47=N46,N48,N46))</f>
        <v>Anatoli Zapunov</v>
      </c>
      <c r="R50" s="49"/>
      <c r="S50" s="49"/>
      <c r="T50" s="7" t="s">
        <v>36</v>
      </c>
      <c r="U50" s="3"/>
    </row>
    <row r="51" spans="1:21" ht="12.75">
      <c r="A51" s="3"/>
      <c r="B51" s="3"/>
      <c r="C51" s="3"/>
      <c r="D51" s="3"/>
      <c r="E51" s="3"/>
      <c r="F51" s="3"/>
      <c r="G51" s="11">
        <v>179</v>
      </c>
      <c r="H51" s="48" t="str">
        <f>IF(Mängud!E80="","",Mängud!E80)</f>
        <v>Taivo Koitla</v>
      </c>
      <c r="I51" s="48"/>
      <c r="J51" s="48"/>
      <c r="K51" s="7" t="s">
        <v>37</v>
      </c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>
      <c r="A52" s="7">
        <v>-147</v>
      </c>
      <c r="B52" s="49" t="str">
        <f>IF(E39="","",IF(E39=B38,B40,B38))</f>
        <v>Bye Bye</v>
      </c>
      <c r="C52" s="49"/>
      <c r="D52" s="49"/>
      <c r="E52" s="3"/>
      <c r="F52" s="3"/>
      <c r="G52" s="11"/>
      <c r="H52" s="9"/>
      <c r="I52" s="10" t="str">
        <f>IF(Mängud!F80="","",Mängud!F80)</f>
        <v>3:2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>
      <c r="A53" s="3"/>
      <c r="B53" s="3"/>
      <c r="C53" s="3"/>
      <c r="D53" s="8">
        <v>160</v>
      </c>
      <c r="E53" s="50" t="str">
        <f>IF(Mängud!E61="","",Mängud!E61)</f>
        <v>Taivo Koitla</v>
      </c>
      <c r="F53" s="50"/>
      <c r="G53" s="50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>
      <c r="A54" s="7">
        <v>-148</v>
      </c>
      <c r="B54" s="70" t="str">
        <f>IF(E43="","",IF(E43=B42,B44,B42))</f>
        <v>Taivo Koitla</v>
      </c>
      <c r="C54" s="70"/>
      <c r="D54" s="70"/>
      <c r="E54" s="9"/>
      <c r="F54" s="10" t="str">
        <f>IF(Mängud!F61="","",Mängud!F61)</f>
        <v>w.o.</v>
      </c>
      <c r="G54" s="13"/>
      <c r="H54" s="1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>
      <c r="A55" s="3"/>
      <c r="B55" s="3"/>
      <c r="C55" s="3"/>
      <c r="D55" s="3"/>
      <c r="E55" s="3"/>
      <c r="F55" s="3"/>
      <c r="G55" s="7">
        <v>-179</v>
      </c>
      <c r="H55" s="49" t="str">
        <f>IF(H51="","",IF(H51=E49,E53,E49))</f>
        <v>Jako Lill</v>
      </c>
      <c r="I55" s="49"/>
      <c r="J55" s="49"/>
      <c r="K55" s="7" t="s">
        <v>38</v>
      </c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7">
        <v>-159</v>
      </c>
      <c r="N57" s="49" t="str">
        <f>IF(E49="","",IF(E49=B48,B50,B48))</f>
        <v>Bye Bye</v>
      </c>
      <c r="O57" s="49"/>
      <c r="P57" s="49"/>
      <c r="Q57" s="3"/>
      <c r="R57" s="3"/>
      <c r="S57" s="3"/>
      <c r="T57" s="3"/>
      <c r="U57" s="3"/>
    </row>
    <row r="58" spans="1:2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8">
        <v>178</v>
      </c>
      <c r="Q58" s="48" t="str">
        <f>IF(Mängud!E79="","",Mängud!E79)</f>
        <v>Bye Bye</v>
      </c>
      <c r="R58" s="48"/>
      <c r="S58" s="48"/>
      <c r="T58" s="7" t="s">
        <v>39</v>
      </c>
      <c r="U58" s="3"/>
    </row>
    <row r="59" spans="1:2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7">
        <v>-160</v>
      </c>
      <c r="N59" s="70" t="str">
        <f>IF(E53="","",IF(E53=B52,B54,B52))</f>
        <v>Bye Bye</v>
      </c>
      <c r="O59" s="70"/>
      <c r="P59" s="70"/>
      <c r="Q59" s="9"/>
      <c r="R59" s="10" t="str">
        <f>IF(Mängud!F79="","",Mängud!F79)</f>
        <v>w.o.</v>
      </c>
      <c r="S59" s="3"/>
      <c r="T59" s="3"/>
      <c r="U59" s="3"/>
    </row>
    <row r="60" spans="1:2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7">
        <v>-178</v>
      </c>
      <c r="Q61" s="49" t="str">
        <f>IF(Q58="","",IF(Q58=N57,N59,N57))</f>
        <v>Bye Bye</v>
      </c>
      <c r="R61" s="49"/>
      <c r="S61" s="49"/>
      <c r="T61" s="7" t="s">
        <v>40</v>
      </c>
      <c r="U61" s="3"/>
    </row>
    <row r="62" spans="1:2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</sheetData>
  <sheetProtection selectLockedCells="1" selectUnlockedCells="1"/>
  <mergeCells count="65">
    <mergeCell ref="B2:D2"/>
    <mergeCell ref="E3:G3"/>
    <mergeCell ref="B4:D4"/>
    <mergeCell ref="H5:J5"/>
    <mergeCell ref="B6:D6"/>
    <mergeCell ref="A1:T1"/>
    <mergeCell ref="E7:G7"/>
    <mergeCell ref="B8:D8"/>
    <mergeCell ref="K9:M9"/>
    <mergeCell ref="B10:D10"/>
    <mergeCell ref="E11:G11"/>
    <mergeCell ref="B12:D12"/>
    <mergeCell ref="H13:J13"/>
    <mergeCell ref="B14:D14"/>
    <mergeCell ref="E15:G15"/>
    <mergeCell ref="B16:D16"/>
    <mergeCell ref="K16:M16"/>
    <mergeCell ref="N18:P18"/>
    <mergeCell ref="Q19:S19"/>
    <mergeCell ref="B20:D20"/>
    <mergeCell ref="N20:P20"/>
    <mergeCell ref="E21:G21"/>
    <mergeCell ref="B22:D22"/>
    <mergeCell ref="Q22:S22"/>
    <mergeCell ref="H23:J23"/>
    <mergeCell ref="B24:D24"/>
    <mergeCell ref="E25:G25"/>
    <mergeCell ref="B26:D26"/>
    <mergeCell ref="H27:J27"/>
    <mergeCell ref="N29:P29"/>
    <mergeCell ref="B30:D30"/>
    <mergeCell ref="Q30:S30"/>
    <mergeCell ref="E31:G31"/>
    <mergeCell ref="N31:P31"/>
    <mergeCell ref="B32:D32"/>
    <mergeCell ref="H33:J33"/>
    <mergeCell ref="Q33:S33"/>
    <mergeCell ref="B34:D34"/>
    <mergeCell ref="E35:G35"/>
    <mergeCell ref="B36:D36"/>
    <mergeCell ref="K37:M37"/>
    <mergeCell ref="B38:D38"/>
    <mergeCell ref="E39:G39"/>
    <mergeCell ref="B40:D40"/>
    <mergeCell ref="H41:J41"/>
    <mergeCell ref="B42:D42"/>
    <mergeCell ref="E43:G43"/>
    <mergeCell ref="B44:D44"/>
    <mergeCell ref="K44:M44"/>
    <mergeCell ref="N46:P46"/>
    <mergeCell ref="Q47:S47"/>
    <mergeCell ref="B48:D48"/>
    <mergeCell ref="N48:P48"/>
    <mergeCell ref="E49:G49"/>
    <mergeCell ref="B50:D50"/>
    <mergeCell ref="Q50:S50"/>
    <mergeCell ref="Q58:S58"/>
    <mergeCell ref="N59:P59"/>
    <mergeCell ref="Q61:S61"/>
    <mergeCell ref="H51:J51"/>
    <mergeCell ref="B52:D52"/>
    <mergeCell ref="E53:G53"/>
    <mergeCell ref="B54:D54"/>
    <mergeCell ref="H55:J55"/>
    <mergeCell ref="N57:P57"/>
  </mergeCells>
  <printOptions/>
  <pageMargins left="0.15763888888888888" right="0.15763888888888888" top="0.2361111111111111" bottom="0.31527777777777777" header="0.5118055555555555" footer="0.5118055555555555"/>
  <pageSetup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P95"/>
  <sheetViews>
    <sheetView tabSelected="1" zoomScalePageLayoutView="0" workbookViewId="0" topLeftCell="A1">
      <pane xSplit="1" ySplit="1" topLeftCell="B6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95" sqref="F95"/>
    </sheetView>
  </sheetViews>
  <sheetFormatPr defaultColWidth="9.140625" defaultRowHeight="12.75"/>
  <cols>
    <col min="2" max="2" width="18.7109375" style="0" customWidth="1"/>
    <col min="3" max="3" width="20.421875" style="0" customWidth="1"/>
    <col min="4" max="4" width="5.57421875" style="0" customWidth="1"/>
    <col min="5" max="5" width="20.421875" style="0" customWidth="1"/>
    <col min="6" max="6" width="8.7109375" style="20" customWidth="1"/>
    <col min="8" max="8" width="11.00390625" style="0" hidden="1" customWidth="1"/>
    <col min="9" max="9" width="8.7109375" style="0" customWidth="1"/>
    <col min="10" max="10" width="8.7109375" style="0" hidden="1" customWidth="1"/>
    <col min="11" max="19" width="2.00390625" style="0" customWidth="1"/>
    <col min="20" max="42" width="3.00390625" style="0" customWidth="1"/>
  </cols>
  <sheetData>
    <row r="1" spans="1:42" s="21" customFormat="1" ht="12.75">
      <c r="A1" s="21" t="s">
        <v>41</v>
      </c>
      <c r="B1" s="21" t="s">
        <v>42</v>
      </c>
      <c r="C1" s="21" t="s">
        <v>43</v>
      </c>
      <c r="D1" s="21" t="s">
        <v>44</v>
      </c>
      <c r="E1" s="21" t="s">
        <v>45</v>
      </c>
      <c r="F1" s="22" t="s">
        <v>46</v>
      </c>
      <c r="G1" s="21" t="s">
        <v>107</v>
      </c>
      <c r="H1" s="22" t="s">
        <v>47</v>
      </c>
      <c r="I1" s="21" t="s">
        <v>48</v>
      </c>
      <c r="K1" s="23">
        <f>IF(COUNTIF($J:$J,1)=1,"",1)</f>
        <v>1</v>
      </c>
      <c r="L1" s="23">
        <f>IF(COUNTIF($J:$J,2)=1,"",2)</f>
        <v>2</v>
      </c>
      <c r="M1" s="23">
        <f>IF(COUNTIF($J:$J,3)=1,"",3)</f>
        <v>3</v>
      </c>
      <c r="N1" s="23">
        <f>IF(COUNTIF($J:$J,4)=1,"",4)</f>
        <v>4</v>
      </c>
      <c r="O1" s="23">
        <f>IF(COUNTIF($J:$J,5)=1,"",5)</f>
        <v>5</v>
      </c>
      <c r="P1" s="23">
        <f>IF(COUNTIF($J:$J,6)=1,"",6)</f>
        <v>6</v>
      </c>
      <c r="Q1" s="23">
        <f>IF(COUNTIF($J:$J,7)=1,"",7)</f>
        <v>7</v>
      </c>
      <c r="R1" s="23">
        <f>IF(COUNTIF($J:$J,8)=1,"",8)</f>
        <v>8</v>
      </c>
      <c r="S1" s="23">
        <f>IF(COUNTIF($J:$J,9)=1,"",9)</f>
        <v>9</v>
      </c>
      <c r="T1" s="23">
        <f>IF(COUNTIF($J:$J,10)=1,"",10)</f>
        <v>10</v>
      </c>
      <c r="U1" s="23">
        <f>IF(COUNTIF($J:$J,11)=1,"",11)</f>
        <v>11</v>
      </c>
      <c r="V1" s="23">
        <f>IF(COUNTIF($J:$J,12)=1,"",12)</f>
        <v>12</v>
      </c>
      <c r="W1" s="23">
        <f>IF(COUNTIF($J:$J,13)=1,"",13)</f>
        <v>13</v>
      </c>
      <c r="X1" s="23">
        <f>IF(COUNTIF($J:$J,14)=1,"",14)</f>
        <v>14</v>
      </c>
      <c r="Y1" s="23">
        <f>IF(COUNTIF($J:$J,15)=1,"",15)</f>
        <v>15</v>
      </c>
      <c r="Z1" s="23">
        <f>IF(COUNTIF($J:$J,16)=1,"",16)</f>
        <v>16</v>
      </c>
      <c r="AA1" s="23">
        <f>IF(COUNTIF($J:$J,17)=1,"",17)</f>
        <v>17</v>
      </c>
      <c r="AB1" s="23">
        <f>IF(COUNTIF($J:$J,18)=1,"",18)</f>
        <v>18</v>
      </c>
      <c r="AC1" s="23">
        <f>IF(COUNTIF($J:$J,19)=1,"",19)</f>
        <v>19</v>
      </c>
      <c r="AD1" s="23">
        <f>IF(COUNTIF($J:$J,20)=1,"",20)</f>
        <v>20</v>
      </c>
      <c r="AE1" s="21">
        <f>IF(COUNTIF($J:$J,21)=1,"",21)</f>
        <v>21</v>
      </c>
      <c r="AF1" s="21">
        <f>IF(COUNTIF($J:$J,22)=1,"",22)</f>
        <v>22</v>
      </c>
      <c r="AG1" s="21">
        <f>IF(COUNTIF($J:$J,23)=1,"",23)</f>
        <v>23</v>
      </c>
      <c r="AH1" s="21">
        <f>IF(COUNTIF($J:$J,24)=1,"",24)</f>
        <v>24</v>
      </c>
      <c r="AI1" s="21">
        <f>IF(COUNTIF($J:$J,25)=1,"",25)</f>
        <v>25</v>
      </c>
      <c r="AJ1" s="21">
        <f>IF(COUNTIF($J:$J,26)=1,"",26)</f>
        <v>26</v>
      </c>
      <c r="AK1" s="21">
        <f>IF(COUNTIF($J:$J,27)=1,"",27)</f>
        <v>27</v>
      </c>
      <c r="AL1" s="21">
        <f>IF(COUNTIF($J:$J,28)=1,"",28)</f>
        <v>28</v>
      </c>
      <c r="AM1" s="21">
        <f>IF(COUNTIF($J:$J,29)=1,"",29)</f>
        <v>29</v>
      </c>
      <c r="AN1" s="21">
        <f>IF(COUNTIF($J:$J,30)=1,"",30)</f>
        <v>30</v>
      </c>
      <c r="AO1" s="21">
        <f>IF(COUNTIF($J:$J,31)=1,"",31)</f>
        <v>31</v>
      </c>
      <c r="AP1" s="21">
        <f>IF(COUNTIF($J:$J,32)=1,"",32)</f>
        <v>32</v>
      </c>
    </row>
    <row r="2" spans="1:10" ht="12.75">
      <c r="A2">
        <v>101</v>
      </c>
      <c r="B2" t="str">
        <f>IF(Plussring!B5="","",Plussring!B5)</f>
        <v>Antti Luigemaa</v>
      </c>
      <c r="C2" t="str">
        <f>IF(Plussring!B7="","",Plussring!B7)</f>
        <v>Bye Bye</v>
      </c>
      <c r="E2" t="s">
        <v>112</v>
      </c>
      <c r="F2" s="33" t="s">
        <v>52</v>
      </c>
      <c r="H2" s="20" t="s">
        <v>49</v>
      </c>
      <c r="I2" s="1"/>
      <c r="J2">
        <f aca="true" t="shared" si="0" ref="J2:J65">IF(D2="","",IF(E2="",D2,""))</f>
      </c>
    </row>
    <row r="3" spans="1:10" ht="12.75">
      <c r="A3">
        <v>102</v>
      </c>
      <c r="B3" t="str">
        <f>IF(Plussring!B9="","",Plussring!B9)</f>
        <v>Raigo Rommot</v>
      </c>
      <c r="C3" t="str">
        <f>IF(Plussring!B11="","",Plussring!B11)</f>
        <v>Kalle Kuuspalu</v>
      </c>
      <c r="D3">
        <v>5</v>
      </c>
      <c r="E3" t="s">
        <v>159</v>
      </c>
      <c r="F3" s="33" t="s">
        <v>50</v>
      </c>
      <c r="H3" s="20" t="s">
        <v>50</v>
      </c>
      <c r="J3">
        <f t="shared" si="0"/>
      </c>
    </row>
    <row r="4" spans="1:10" ht="12.75">
      <c r="A4">
        <v>103</v>
      </c>
      <c r="B4" t="str">
        <f>IF(Plussring!B13="","",Plussring!B13)</f>
        <v>Eduard Virkunen</v>
      </c>
      <c r="C4" t="str">
        <f>IF(Plussring!B15="","",Plussring!B15)</f>
        <v>Raivo Roots</v>
      </c>
      <c r="D4">
        <v>6</v>
      </c>
      <c r="E4" t="s">
        <v>136</v>
      </c>
      <c r="F4" s="33" t="s">
        <v>49</v>
      </c>
      <c r="H4" s="20" t="s">
        <v>51</v>
      </c>
      <c r="J4">
        <f t="shared" si="0"/>
      </c>
    </row>
    <row r="5" spans="1:10" ht="12.75">
      <c r="A5">
        <v>104</v>
      </c>
      <c r="B5" t="str">
        <f>IF(Plussring!B17="","",Plussring!B17)</f>
        <v>Joosep Hansar</v>
      </c>
      <c r="C5" t="str">
        <f>IF(Plussring!B19="","",Plussring!B19)</f>
        <v>Veiko Ristissaar</v>
      </c>
      <c r="D5">
        <v>7</v>
      </c>
      <c r="E5" t="s">
        <v>133</v>
      </c>
      <c r="F5" s="33" t="s">
        <v>49</v>
      </c>
      <c r="H5" s="20" t="s">
        <v>52</v>
      </c>
      <c r="J5">
        <f t="shared" si="0"/>
      </c>
    </row>
    <row r="6" spans="1:10" ht="12.75">
      <c r="A6">
        <v>105</v>
      </c>
      <c r="B6" t="str">
        <f>IF(Plussring!B21="","",Plussring!B21)</f>
        <v>Vladyslav Rybachok</v>
      </c>
      <c r="C6" t="str">
        <f>IF(Plussring!B23="","",Plussring!B23)</f>
        <v>Aivar Soo</v>
      </c>
      <c r="D6">
        <v>8</v>
      </c>
      <c r="E6" t="s">
        <v>124</v>
      </c>
      <c r="F6" s="33" t="s">
        <v>49</v>
      </c>
      <c r="H6" s="20" t="s">
        <v>53</v>
      </c>
      <c r="J6">
        <f t="shared" si="0"/>
      </c>
    </row>
    <row r="7" spans="1:10" ht="12.75">
      <c r="A7">
        <v>106</v>
      </c>
      <c r="B7" t="str">
        <f>IF(Plussring!B25="","",Plussring!B25)</f>
        <v>Arvi Merigan</v>
      </c>
      <c r="C7" t="str">
        <f>IF(Plussring!B27="","",Plussring!B27)</f>
        <v>Reino Ristissaar</v>
      </c>
      <c r="D7">
        <v>9</v>
      </c>
      <c r="E7" t="s">
        <v>144</v>
      </c>
      <c r="F7" s="33" t="s">
        <v>49</v>
      </c>
      <c r="H7" s="20" t="s">
        <v>54</v>
      </c>
      <c r="J7">
        <f t="shared" si="0"/>
      </c>
    </row>
    <row r="8" spans="1:10" ht="12.75">
      <c r="A8">
        <v>107</v>
      </c>
      <c r="B8" t="str">
        <f>IF(Plussring!B29="","",Plussring!B29)</f>
        <v>Jimmy Lindborg</v>
      </c>
      <c r="C8" t="str">
        <f>IF(Plussring!B31="","",Plussring!B31)</f>
        <v>Alex Rahuoja</v>
      </c>
      <c r="D8">
        <v>8</v>
      </c>
      <c r="E8" t="s">
        <v>147</v>
      </c>
      <c r="F8" s="33" t="s">
        <v>51</v>
      </c>
      <c r="H8" s="20" t="s">
        <v>55</v>
      </c>
      <c r="J8">
        <f t="shared" si="0"/>
      </c>
    </row>
    <row r="9" spans="1:10" ht="12.75">
      <c r="A9">
        <v>108</v>
      </c>
      <c r="B9" t="str">
        <f>IF(Plussring!B33="","",Plussring!B33)</f>
        <v>Taivo Koitla</v>
      </c>
      <c r="C9" t="str">
        <f>IF(Plussring!B35="","",Plussring!B35)</f>
        <v>Urmas Sinisalu</v>
      </c>
      <c r="D9">
        <v>7</v>
      </c>
      <c r="E9" t="s">
        <v>121</v>
      </c>
      <c r="F9" s="33" t="s">
        <v>49</v>
      </c>
      <c r="H9" s="20" t="s">
        <v>56</v>
      </c>
      <c r="J9">
        <f t="shared" si="0"/>
      </c>
    </row>
    <row r="10" spans="1:10" ht="12.75">
      <c r="A10">
        <v>109</v>
      </c>
      <c r="B10" t="str">
        <f>IF(Plussring!B37="","",Plussring!B37)</f>
        <v>Andres Somer</v>
      </c>
      <c r="C10" t="str">
        <f>IF(Plussring!B39="","",Plussring!B39)</f>
        <v>Jako Lill</v>
      </c>
      <c r="D10">
        <v>6</v>
      </c>
      <c r="E10" t="s">
        <v>118</v>
      </c>
      <c r="F10" s="33" t="s">
        <v>49</v>
      </c>
      <c r="H10" s="20" t="s">
        <v>57</v>
      </c>
      <c r="J10">
        <f t="shared" si="0"/>
      </c>
    </row>
    <row r="11" spans="1:10" ht="12.75">
      <c r="A11">
        <v>110</v>
      </c>
      <c r="B11" t="str">
        <f>IF(Plussring!B41="","",Plussring!B41)</f>
        <v>Taavi Miku</v>
      </c>
      <c r="C11" t="str">
        <f>IF(Plussring!B43="","",Plussring!B43)</f>
        <v>Ain Raid</v>
      </c>
      <c r="D11">
        <v>9</v>
      </c>
      <c r="E11" t="s">
        <v>150</v>
      </c>
      <c r="F11" s="33" t="s">
        <v>49</v>
      </c>
      <c r="H11" s="20" t="s">
        <v>58</v>
      </c>
      <c r="J11">
        <f t="shared" si="0"/>
      </c>
    </row>
    <row r="12" spans="1:10" ht="12.75">
      <c r="A12">
        <v>111</v>
      </c>
      <c r="B12" t="str">
        <f>IF(Plussring!B45="","",Plussring!B45)</f>
        <v>Kalju Kalda</v>
      </c>
      <c r="C12" t="str">
        <f>IF(Plussring!B47="","",Plussring!B47)</f>
        <v>Tõnu Hansar</v>
      </c>
      <c r="D12">
        <v>5</v>
      </c>
      <c r="E12" t="s">
        <v>142</v>
      </c>
      <c r="F12" s="33" t="s">
        <v>50</v>
      </c>
      <c r="J12">
        <f t="shared" si="0"/>
      </c>
    </row>
    <row r="13" spans="1:10" ht="12.75">
      <c r="A13">
        <v>112</v>
      </c>
      <c r="B13" t="str">
        <f>IF(Plussring!B49="","",Plussring!B49)</f>
        <v>Anatoli Zapunov</v>
      </c>
      <c r="C13" t="str">
        <f>IF(Plussring!B51="","",Plussring!B51)</f>
        <v>Mykhailo Plokhotniuk</v>
      </c>
      <c r="D13">
        <v>7</v>
      </c>
      <c r="E13" t="s">
        <v>127</v>
      </c>
      <c r="F13" s="33" t="s">
        <v>49</v>
      </c>
      <c r="J13">
        <f t="shared" si="0"/>
      </c>
    </row>
    <row r="14" spans="1:10" ht="12.75">
      <c r="A14">
        <v>113</v>
      </c>
      <c r="B14" t="str">
        <f>IF(Plussring!B53="","",Plussring!B53)</f>
        <v>Imre Korsen</v>
      </c>
      <c r="C14" t="str">
        <f>IF(Plussring!B55="","",Plussring!B55)</f>
        <v>Heiki Hansar</v>
      </c>
      <c r="D14">
        <v>6</v>
      </c>
      <c r="E14" t="s">
        <v>130</v>
      </c>
      <c r="F14" s="33" t="s">
        <v>49</v>
      </c>
      <c r="J14">
        <f t="shared" si="0"/>
      </c>
    </row>
    <row r="15" spans="1:10" ht="12.75">
      <c r="A15">
        <v>114</v>
      </c>
      <c r="B15" t="str">
        <f>IF(Plussring!B57="","",Plussring!B57)</f>
        <v>Hannes Lepik</v>
      </c>
      <c r="C15" t="str">
        <f>IF(Plussring!B59="","",Plussring!B59)</f>
        <v>Keit Reinsalu</v>
      </c>
      <c r="D15">
        <v>4</v>
      </c>
      <c r="E15" t="s">
        <v>139</v>
      </c>
      <c r="F15" s="33" t="s">
        <v>49</v>
      </c>
      <c r="J15">
        <f t="shared" si="0"/>
      </c>
    </row>
    <row r="16" spans="1:10" ht="12.75">
      <c r="A16">
        <v>115</v>
      </c>
      <c r="B16" t="str">
        <f>IF(Plussring!B61="","",Plussring!B61)</f>
        <v>Heikki Sool</v>
      </c>
      <c r="C16" t="str">
        <f>IF(Plussring!B63="","",Plussring!B63)</f>
        <v>Marko Perendi</v>
      </c>
      <c r="D16">
        <v>7</v>
      </c>
      <c r="E16" t="s">
        <v>162</v>
      </c>
      <c r="F16" s="33" t="s">
        <v>50</v>
      </c>
      <c r="J16">
        <f t="shared" si="0"/>
      </c>
    </row>
    <row r="17" spans="1:10" ht="12.75">
      <c r="A17">
        <v>116</v>
      </c>
      <c r="B17" t="str">
        <f>IF(Plussring!B65="","",Plussring!B65)</f>
        <v>Bye Bye</v>
      </c>
      <c r="C17" t="str">
        <f>IF(Plussring!B67="","",Plussring!B67)</f>
        <v>Allan Salla</v>
      </c>
      <c r="E17" t="s">
        <v>115</v>
      </c>
      <c r="F17" s="33" t="s">
        <v>52</v>
      </c>
      <c r="J17">
        <f t="shared" si="0"/>
      </c>
    </row>
    <row r="18" spans="1:10" ht="12.75">
      <c r="A18">
        <v>117</v>
      </c>
      <c r="B18" t="str">
        <f>IF(Plussring!E6="","",Plussring!E6)</f>
        <v>Antti Luigemaa</v>
      </c>
      <c r="C18" t="str">
        <f>IF(Plussring!E6="","",Plussring!E10)</f>
        <v>Raigo Rommot</v>
      </c>
      <c r="D18">
        <v>5</v>
      </c>
      <c r="E18" t="s">
        <v>112</v>
      </c>
      <c r="F18" s="33" t="s">
        <v>50</v>
      </c>
      <c r="J18">
        <f t="shared" si="0"/>
      </c>
    </row>
    <row r="19" spans="1:10" ht="12.75">
      <c r="A19">
        <v>118</v>
      </c>
      <c r="B19" t="str">
        <f>IF(Plussring!E14="","",Plussring!E14)</f>
        <v>Eduard Virkunen</v>
      </c>
      <c r="C19" t="str">
        <f>IF(Plussring!E18="","",Plussring!E18)</f>
        <v>Veiko Ristissaar</v>
      </c>
      <c r="D19">
        <v>8</v>
      </c>
      <c r="E19" t="s">
        <v>133</v>
      </c>
      <c r="F19" s="33" t="s">
        <v>51</v>
      </c>
      <c r="J19">
        <f t="shared" si="0"/>
      </c>
    </row>
    <row r="20" spans="1:10" ht="12.75">
      <c r="A20">
        <v>119</v>
      </c>
      <c r="B20" t="str">
        <f>IF(Plussring!E22="","",Plussring!E22)</f>
        <v>Vladyslav Rybachok</v>
      </c>
      <c r="C20" t="str">
        <f>IF(Plussring!E26="","",Plussring!E26)</f>
        <v>Reino Ristissaar</v>
      </c>
      <c r="D20">
        <v>6</v>
      </c>
      <c r="E20" t="s">
        <v>124</v>
      </c>
      <c r="F20" s="33" t="s">
        <v>50</v>
      </c>
      <c r="J20">
        <f t="shared" si="0"/>
      </c>
    </row>
    <row r="21" spans="1:10" ht="12.75">
      <c r="A21">
        <v>120</v>
      </c>
      <c r="B21" t="str">
        <f>IF(Plussring!E30="","",Plussring!E30)</f>
        <v>Jimmy Lindborg</v>
      </c>
      <c r="C21" t="str">
        <f>IF(Plussring!E34="","",Plussring!E34)</f>
        <v>Urmas Sinisalu</v>
      </c>
      <c r="D21">
        <v>4</v>
      </c>
      <c r="E21" t="s">
        <v>121</v>
      </c>
      <c r="F21" s="33" t="s">
        <v>49</v>
      </c>
      <c r="J21">
        <f t="shared" si="0"/>
      </c>
    </row>
    <row r="22" spans="1:10" ht="12.75">
      <c r="A22">
        <v>121</v>
      </c>
      <c r="B22" t="str">
        <f>IF(Plussring!E38="","",Plussring!E38)</f>
        <v>Andres Somer</v>
      </c>
      <c r="C22" t="str">
        <f>IF(Plussring!E42="","",Plussring!E42)</f>
        <v>Ain Raid</v>
      </c>
      <c r="D22">
        <v>7</v>
      </c>
      <c r="E22" t="s">
        <v>118</v>
      </c>
      <c r="F22" s="33" t="s">
        <v>49</v>
      </c>
      <c r="J22">
        <f t="shared" si="0"/>
      </c>
    </row>
    <row r="23" spans="1:10" ht="12.75">
      <c r="A23">
        <v>122</v>
      </c>
      <c r="B23" t="str">
        <f>IF(Plussring!E46="","",Plussring!E46)</f>
        <v>Kalju Kalda</v>
      </c>
      <c r="C23" t="str">
        <f>IF(Plussring!E50="","",Plussring!E50)</f>
        <v>Mykhailo Plokhotniuk</v>
      </c>
      <c r="D23">
        <v>5</v>
      </c>
      <c r="E23" t="s">
        <v>127</v>
      </c>
      <c r="F23" s="33" t="s">
        <v>50</v>
      </c>
      <c r="J23">
        <f t="shared" si="0"/>
      </c>
    </row>
    <row r="24" spans="1:10" ht="12.75">
      <c r="A24">
        <v>123</v>
      </c>
      <c r="B24" t="str">
        <f>IF(Plussring!E54="","",Plussring!E54)</f>
        <v>Imre Korsen</v>
      </c>
      <c r="C24" t="str">
        <f>IF(Plussring!E58="","",Plussring!E58)</f>
        <v>Keit Reinsalu</v>
      </c>
      <c r="D24">
        <v>4</v>
      </c>
      <c r="E24" t="s">
        <v>130</v>
      </c>
      <c r="F24" s="33" t="s">
        <v>50</v>
      </c>
      <c r="J24">
        <f t="shared" si="0"/>
      </c>
    </row>
    <row r="25" spans="1:10" ht="12.75">
      <c r="A25">
        <v>124</v>
      </c>
      <c r="B25" t="str">
        <f>IF(Plussring!E62="","",Plussring!E62)</f>
        <v>Marko Perendi</v>
      </c>
      <c r="C25" t="str">
        <f>IF(Plussring!E66="","",Plussring!E66)</f>
        <v>Allan Salla</v>
      </c>
      <c r="D25">
        <v>9</v>
      </c>
      <c r="E25" t="s">
        <v>115</v>
      </c>
      <c r="F25" s="33" t="s">
        <v>49</v>
      </c>
      <c r="J25">
        <f t="shared" si="0"/>
      </c>
    </row>
    <row r="26" spans="1:10" ht="12.75">
      <c r="A26">
        <v>125</v>
      </c>
      <c r="B26" t="str">
        <f>IF('Kohad_3-16'!B3="","",'Kohad_3-16'!B3)</f>
        <v>Jako Lill</v>
      </c>
      <c r="C26" t="str">
        <f>IF('Kohad_3-16'!B5="","",'Kohad_3-16'!B5)</f>
        <v>Taavi Miku</v>
      </c>
      <c r="D26">
        <v>9</v>
      </c>
      <c r="E26" t="s">
        <v>165</v>
      </c>
      <c r="F26" s="33" t="s">
        <v>49</v>
      </c>
      <c r="J26">
        <f t="shared" si="0"/>
      </c>
    </row>
    <row r="27" spans="1:10" ht="12.75">
      <c r="A27">
        <v>126</v>
      </c>
      <c r="B27" t="str">
        <f>IF('Kohad_3-16'!B7="","",'Kohad_3-16'!B7)</f>
        <v>Tõnu Hansar</v>
      </c>
      <c r="C27" t="str">
        <f>IF('Kohad_3-16'!B9="","",'Kohad_3-16'!B9)</f>
        <v>Anatoli Zapunov</v>
      </c>
      <c r="D27">
        <v>6</v>
      </c>
      <c r="E27" t="s">
        <v>174</v>
      </c>
      <c r="F27" s="33" t="s">
        <v>50</v>
      </c>
      <c r="J27">
        <f t="shared" si="0"/>
      </c>
    </row>
    <row r="28" spans="1:10" ht="12.75">
      <c r="A28">
        <v>127</v>
      </c>
      <c r="B28" t="str">
        <f>IF('Kohad_3-16'!B11="","",'Kohad_3-16'!B11)</f>
        <v>Heiki Hansar</v>
      </c>
      <c r="C28" t="str">
        <f>IF('Kohad_3-16'!B13="","",'Kohad_3-16'!B13)</f>
        <v>Hannes Lepik</v>
      </c>
      <c r="D28">
        <v>8</v>
      </c>
      <c r="E28" t="s">
        <v>177</v>
      </c>
      <c r="F28" s="33" t="s">
        <v>50</v>
      </c>
      <c r="J28">
        <f t="shared" si="0"/>
      </c>
    </row>
    <row r="29" spans="1:10" ht="12.75">
      <c r="A29">
        <v>128</v>
      </c>
      <c r="B29" t="str">
        <f>IF('Kohad_3-16'!B15="","",'Kohad_3-16'!B15)</f>
        <v>Heikki Sool</v>
      </c>
      <c r="C29" t="str">
        <f>IF('Kohad_3-16'!B17="","",'Kohad_3-16'!B17)</f>
        <v>Bye Bye</v>
      </c>
      <c r="E29" t="s">
        <v>153</v>
      </c>
      <c r="F29" s="33" t="s">
        <v>52</v>
      </c>
      <c r="J29">
        <f t="shared" si="0"/>
      </c>
    </row>
    <row r="30" spans="1:10" ht="12.75">
      <c r="A30">
        <v>129</v>
      </c>
      <c r="B30" t="str">
        <f>IF('Kohad_3-16'!B19="","",'Kohad_3-16'!B19)</f>
        <v>Bye Bye</v>
      </c>
      <c r="C30" t="str">
        <f>IF('Kohad_3-16'!B21="","",'Kohad_3-16'!B21)</f>
        <v>Kalle Kuuspalu</v>
      </c>
      <c r="E30" t="s">
        <v>156</v>
      </c>
      <c r="F30" s="33" t="s">
        <v>52</v>
      </c>
      <c r="J30">
        <f t="shared" si="0"/>
      </c>
    </row>
    <row r="31" spans="1:10" ht="12.75">
      <c r="A31">
        <v>130</v>
      </c>
      <c r="B31" t="str">
        <f>IF('Kohad_3-16'!B23="","",'Kohad_3-16'!B23)</f>
        <v>Raivo Roots</v>
      </c>
      <c r="C31" t="str">
        <f>IF('Kohad_3-16'!B25="","",'Kohad_3-16'!B25)</f>
        <v>Joosep Hansar</v>
      </c>
      <c r="D31">
        <v>7</v>
      </c>
      <c r="E31" t="s">
        <v>180</v>
      </c>
      <c r="F31" s="33" t="s">
        <v>49</v>
      </c>
      <c r="J31">
        <f t="shared" si="0"/>
      </c>
    </row>
    <row r="32" spans="1:10" ht="12.75">
      <c r="A32">
        <v>131</v>
      </c>
      <c r="B32" t="str">
        <f>IF('Kohad_3-16'!B27="","",'Kohad_3-16'!B27)</f>
        <v>Aivar Soo</v>
      </c>
      <c r="C32" t="str">
        <f>IF('Kohad_3-16'!B29="","",'Kohad_3-16'!B29)</f>
        <v>Arvi Merigan</v>
      </c>
      <c r="D32">
        <v>9</v>
      </c>
      <c r="E32" t="s">
        <v>171</v>
      </c>
      <c r="F32" s="33" t="s">
        <v>50</v>
      </c>
      <c r="J32">
        <f t="shared" si="0"/>
      </c>
    </row>
    <row r="33" spans="1:10" ht="12.75">
      <c r="A33">
        <v>132</v>
      </c>
      <c r="B33" t="str">
        <f>IF('Kohad_3-16'!B31="","",'Kohad_3-16'!B31)</f>
        <v>Alex Rahuoja</v>
      </c>
      <c r="C33" t="str">
        <f>IF('Kohad_3-16'!B33="","",'Kohad_3-16'!B33)</f>
        <v>Taivo Koitla</v>
      </c>
      <c r="D33">
        <v>6</v>
      </c>
      <c r="E33" t="s">
        <v>168</v>
      </c>
      <c r="F33" s="33" t="s">
        <v>49</v>
      </c>
      <c r="J33">
        <f t="shared" si="0"/>
      </c>
    </row>
    <row r="34" spans="1:10" ht="12.75">
      <c r="A34">
        <v>133</v>
      </c>
      <c r="B34" t="str">
        <f>IF('Kohad_3-16'!E2="","",'Kohad_3-16'!E2)</f>
        <v>Jimmy Lindborg</v>
      </c>
      <c r="C34" t="str">
        <f>IF('Kohad_3-16'!E4="","",'Kohad_3-16'!E4)</f>
        <v>Taavi Miku</v>
      </c>
      <c r="D34">
        <v>7</v>
      </c>
      <c r="E34" t="s">
        <v>147</v>
      </c>
      <c r="F34" s="33" t="s">
        <v>50</v>
      </c>
      <c r="J34">
        <f t="shared" si="0"/>
      </c>
    </row>
    <row r="35" spans="1:10" ht="12.75">
      <c r="A35">
        <v>134</v>
      </c>
      <c r="B35" t="str">
        <f>IF('Kohad_3-16'!E6="","",'Kohad_3-16'!E6)</f>
        <v>Reino Ristissaar</v>
      </c>
      <c r="C35" t="str">
        <f>IF('Kohad_3-16'!E8="","",'Kohad_3-16'!E8)</f>
        <v>Tõnu Hansar</v>
      </c>
      <c r="D35">
        <v>8</v>
      </c>
      <c r="E35" t="s">
        <v>174</v>
      </c>
      <c r="F35" s="33" t="s">
        <v>51</v>
      </c>
      <c r="J35">
        <f t="shared" si="0"/>
      </c>
    </row>
    <row r="36" spans="1:10" ht="12.75">
      <c r="A36">
        <v>135</v>
      </c>
      <c r="B36" t="str">
        <f>IF('Kohad_3-16'!E10="","",'Kohad_3-16'!E10)</f>
        <v>Eduard Virkunen</v>
      </c>
      <c r="C36" t="str">
        <f>IF('Kohad_3-16'!E12="","",'Kohad_3-16'!E12)</f>
        <v>Hannes Lepik</v>
      </c>
      <c r="D36">
        <v>4</v>
      </c>
      <c r="E36" t="s">
        <v>136</v>
      </c>
      <c r="F36" s="33" t="s">
        <v>50</v>
      </c>
      <c r="J36">
        <f t="shared" si="0"/>
      </c>
    </row>
    <row r="37" spans="1:10" ht="12.75">
      <c r="A37">
        <v>136</v>
      </c>
      <c r="B37" t="str">
        <f>IF('Kohad_3-16'!E14="","",'Kohad_3-16'!E14)</f>
        <v>Raigo Rommot</v>
      </c>
      <c r="C37" t="str">
        <f>IF('Kohad_3-16'!E16="","",'Kohad_3-16'!E16)</f>
        <v>Heikki Sool</v>
      </c>
      <c r="D37">
        <v>5</v>
      </c>
      <c r="E37" t="s">
        <v>153</v>
      </c>
      <c r="F37" s="33" t="s">
        <v>50</v>
      </c>
      <c r="J37">
        <f t="shared" si="0"/>
      </c>
    </row>
    <row r="38" spans="1:10" ht="12.75">
      <c r="A38">
        <v>137</v>
      </c>
      <c r="B38" t="str">
        <f>IF('Kohad_3-16'!E18="","",'Kohad_3-16'!E18)</f>
        <v>Marko Perendi</v>
      </c>
      <c r="C38" t="str">
        <f>IF('Kohad_3-16'!E20="","",'Kohad_3-16'!E20)</f>
        <v>Kalle Kuuspalu</v>
      </c>
      <c r="D38">
        <v>9</v>
      </c>
      <c r="E38" t="s">
        <v>162</v>
      </c>
      <c r="F38" s="33" t="s">
        <v>49</v>
      </c>
      <c r="J38">
        <f t="shared" si="0"/>
      </c>
    </row>
    <row r="39" spans="1:10" ht="12.75">
      <c r="A39">
        <v>138</v>
      </c>
      <c r="B39" t="str">
        <f>IF('Kohad_3-16'!E22="","",'Kohad_3-16'!E22)</f>
        <v>Keit Reinsalu</v>
      </c>
      <c r="C39" t="str">
        <f>IF('Kohad_3-16'!E24="","",'Kohad_3-16'!E24)</f>
        <v>Raivo Roots</v>
      </c>
      <c r="D39">
        <v>6</v>
      </c>
      <c r="E39" t="s">
        <v>139</v>
      </c>
      <c r="F39" s="33" t="s">
        <v>49</v>
      </c>
      <c r="J39">
        <f t="shared" si="0"/>
      </c>
    </row>
    <row r="40" spans="1:10" ht="12.75">
      <c r="A40">
        <v>139</v>
      </c>
      <c r="B40" t="str">
        <f>IF('Kohad_3-16'!E26="","",'Kohad_3-16'!E26)</f>
        <v>Kalju Kalda</v>
      </c>
      <c r="C40" t="str">
        <f>IF('Kohad_3-16'!E28="","",'Kohad_3-16'!E28)</f>
        <v>Arvi Merigan</v>
      </c>
      <c r="D40">
        <v>5</v>
      </c>
      <c r="E40" t="s">
        <v>142</v>
      </c>
      <c r="F40" s="33" t="s">
        <v>49</v>
      </c>
      <c r="J40">
        <f t="shared" si="0"/>
      </c>
    </row>
    <row r="41" spans="1:10" ht="12.75">
      <c r="A41">
        <v>140</v>
      </c>
      <c r="B41" t="str">
        <f>IF('Kohad_3-16'!E30="","",'Kohad_3-16'!E30)</f>
        <v>Ain Raid</v>
      </c>
      <c r="C41" t="str">
        <f>IF('Kohad_3-16'!E32="","",'Kohad_3-16'!E32)</f>
        <v>Alex Rahuoja</v>
      </c>
      <c r="D41">
        <v>7</v>
      </c>
      <c r="E41" t="s">
        <v>150</v>
      </c>
      <c r="F41" s="33" t="s">
        <v>51</v>
      </c>
      <c r="J41">
        <f t="shared" si="0"/>
      </c>
    </row>
    <row r="42" spans="1:10" ht="12.75">
      <c r="A42">
        <v>141</v>
      </c>
      <c r="B42" t="str">
        <f>IF(Plussring!H8="","",Plussring!H8)</f>
        <v>Antti Luigemaa</v>
      </c>
      <c r="C42" t="str">
        <f>IF(Plussring!H16="","",Plussring!H16)</f>
        <v>Veiko Ristissaar</v>
      </c>
      <c r="D42">
        <v>4</v>
      </c>
      <c r="E42" t="s">
        <v>112</v>
      </c>
      <c r="F42" s="33" t="s">
        <v>50</v>
      </c>
      <c r="J42">
        <f t="shared" si="0"/>
      </c>
    </row>
    <row r="43" spans="1:10" ht="12.75">
      <c r="A43">
        <v>142</v>
      </c>
      <c r="B43" t="str">
        <f>IF(Plussring!H24="","",Plussring!H24)</f>
        <v>Vladyslav Rybachok</v>
      </c>
      <c r="C43" t="str">
        <f>IF(Plussring!H32="","",Plussring!H32)</f>
        <v>Urmas Sinisalu</v>
      </c>
      <c r="D43">
        <v>6</v>
      </c>
      <c r="E43" t="s">
        <v>121</v>
      </c>
      <c r="F43" s="33" t="s">
        <v>49</v>
      </c>
      <c r="J43">
        <f t="shared" si="0"/>
      </c>
    </row>
    <row r="44" spans="1:10" ht="12.75">
      <c r="A44">
        <v>143</v>
      </c>
      <c r="B44" t="str">
        <f>IF(Plussring!H40="","",Plussring!H40)</f>
        <v>Andres Somer</v>
      </c>
      <c r="C44" t="str">
        <f>IF(Plussring!H48="","",Plussring!H48)</f>
        <v>Mykhailo Plokhotniuk</v>
      </c>
      <c r="D44">
        <v>5</v>
      </c>
      <c r="E44" t="s">
        <v>127</v>
      </c>
      <c r="F44" s="33" t="s">
        <v>50</v>
      </c>
      <c r="J44">
        <f t="shared" si="0"/>
      </c>
    </row>
    <row r="45" spans="1:10" ht="12.75">
      <c r="A45">
        <v>144</v>
      </c>
      <c r="B45" t="str">
        <f>IF(Plussring!H56="","",Plussring!H56)</f>
        <v>Imre Korsen</v>
      </c>
      <c r="C45" t="str">
        <f>IF(Plussring!H64="","",Plussring!H64)</f>
        <v>Allan Salla</v>
      </c>
      <c r="D45">
        <v>4</v>
      </c>
      <c r="E45" t="s">
        <v>115</v>
      </c>
      <c r="F45" s="33" t="s">
        <v>51</v>
      </c>
      <c r="J45">
        <f t="shared" si="0"/>
      </c>
    </row>
    <row r="46" spans="1:10" ht="12.75">
      <c r="A46">
        <v>145</v>
      </c>
      <c r="B46" t="str">
        <f>IF('Kohad_17-32'!B30="","",'Kohad_17-32'!B30)</f>
        <v>Jako Lill</v>
      </c>
      <c r="C46" t="str">
        <f>IF('Kohad_17-32'!B32="","",'Kohad_17-32'!B32)</f>
        <v>Anatoli Zapunov</v>
      </c>
      <c r="D46">
        <v>9</v>
      </c>
      <c r="E46" t="s">
        <v>187</v>
      </c>
      <c r="F46" s="33" t="s">
        <v>49</v>
      </c>
      <c r="J46">
        <f t="shared" si="0"/>
      </c>
    </row>
    <row r="47" spans="1:10" ht="12.75">
      <c r="A47">
        <v>146</v>
      </c>
      <c r="B47" t="str">
        <f>IF('Kohad_17-32'!B34="","",'Kohad_17-32'!B34)</f>
        <v>Heiki Hansar</v>
      </c>
      <c r="C47" t="str">
        <f>IF('Kohad_17-32'!B36="","",'Kohad_17-32'!B36)</f>
        <v>Bye Bye</v>
      </c>
      <c r="E47" t="s">
        <v>184</v>
      </c>
      <c r="F47" s="33" t="s">
        <v>52</v>
      </c>
      <c r="J47">
        <f t="shared" si="0"/>
      </c>
    </row>
    <row r="48" spans="1:10" ht="12.75">
      <c r="A48">
        <v>147</v>
      </c>
      <c r="B48" t="str">
        <f>IF('Kohad_17-32'!B38="","",'Kohad_17-32'!B38)</f>
        <v>Bye Bye</v>
      </c>
      <c r="C48" t="str">
        <f>IF('Kohad_17-32'!B40="","",'Kohad_17-32'!B40)</f>
        <v>Joosep Hansar</v>
      </c>
      <c r="E48" t="s">
        <v>182</v>
      </c>
      <c r="F48" s="33" t="s">
        <v>52</v>
      </c>
      <c r="J48">
        <f t="shared" si="0"/>
      </c>
    </row>
    <row r="49" spans="1:10" ht="12.75">
      <c r="A49">
        <v>148</v>
      </c>
      <c r="B49" t="str">
        <f>IF('Kohad_17-32'!B42="","",'Kohad_17-32'!B42)</f>
        <v>Aivar Soo</v>
      </c>
      <c r="C49" t="str">
        <f>IF('Kohad_17-32'!B44="","",'Kohad_17-32'!B44)</f>
        <v>Taivo Koitla</v>
      </c>
      <c r="D49">
        <v>8</v>
      </c>
      <c r="E49" t="s">
        <v>190</v>
      </c>
      <c r="F49" s="33" t="s">
        <v>49</v>
      </c>
      <c r="J49">
        <f t="shared" si="0"/>
      </c>
    </row>
    <row r="50" spans="1:10" ht="12.75">
      <c r="A50">
        <v>149</v>
      </c>
      <c r="B50" t="str">
        <f>IF('Kohad_3-16'!H3="","",'Kohad_3-16'!H3)</f>
        <v>Jimmy Lindborg</v>
      </c>
      <c r="C50" t="str">
        <f>IF('Kohad_3-16'!H3="","",'Kohad_3-16'!H7)</f>
        <v>Tõnu Hansar</v>
      </c>
      <c r="D50">
        <v>9</v>
      </c>
      <c r="E50" t="s">
        <v>147</v>
      </c>
      <c r="F50" s="33" t="s">
        <v>51</v>
      </c>
      <c r="J50">
        <f t="shared" si="0"/>
      </c>
    </row>
    <row r="51" spans="1:10" ht="12.75">
      <c r="A51">
        <v>150</v>
      </c>
      <c r="B51" t="str">
        <f>IF('Kohad_3-16'!H11="","",'Kohad_3-16'!H11)</f>
        <v>Eduard Virkunen</v>
      </c>
      <c r="C51" t="str">
        <f>IF('Kohad_3-16'!H15="","",'Kohad_3-16'!H15)</f>
        <v>Heikki Sool</v>
      </c>
      <c r="D51">
        <v>6</v>
      </c>
      <c r="E51" t="s">
        <v>136</v>
      </c>
      <c r="F51" s="33" t="s">
        <v>51</v>
      </c>
      <c r="J51">
        <f t="shared" si="0"/>
      </c>
    </row>
    <row r="52" spans="1:10" ht="12.75">
      <c r="A52">
        <v>151</v>
      </c>
      <c r="B52" t="str">
        <f>IF('Kohad_3-16'!H19="","",'Kohad_3-16'!H19)</f>
        <v>Marko Perendi</v>
      </c>
      <c r="C52" t="str">
        <f>IF('Kohad_3-16'!H23="","",'Kohad_3-16'!H23)</f>
        <v>Keit Reinsalu</v>
      </c>
      <c r="D52">
        <v>8</v>
      </c>
      <c r="E52" t="s">
        <v>139</v>
      </c>
      <c r="F52" s="33" t="s">
        <v>49</v>
      </c>
      <c r="J52">
        <f t="shared" si="0"/>
      </c>
    </row>
    <row r="53" spans="1:10" ht="12.75">
      <c r="A53">
        <v>152</v>
      </c>
      <c r="B53" t="str">
        <f>IF('Kohad_3-16'!H27="","",'Kohad_3-16'!H27)</f>
        <v>Kalju Kalda</v>
      </c>
      <c r="C53" t="str">
        <f>IF('Kohad_3-16'!H31="","",'Kohad_3-16'!H31)</f>
        <v>Ain Raid</v>
      </c>
      <c r="D53">
        <v>6</v>
      </c>
      <c r="E53" t="s">
        <v>150</v>
      </c>
      <c r="F53" s="33" t="s">
        <v>51</v>
      </c>
      <c r="J53">
        <f t="shared" si="0"/>
      </c>
    </row>
    <row r="54" spans="1:10" ht="12.75">
      <c r="A54">
        <v>153</v>
      </c>
      <c r="B54" t="str">
        <f>IF('Kohad_17-32'!B2="","",'Kohad_17-32'!B2)</f>
        <v>Taavi Miku</v>
      </c>
      <c r="C54" t="str">
        <f>IF('Kohad_17-32'!B4="","",'Kohad_17-32'!B4)</f>
        <v>Reino Ristissaar</v>
      </c>
      <c r="D54">
        <v>2</v>
      </c>
      <c r="E54" t="s">
        <v>144</v>
      </c>
      <c r="F54" s="33" t="s">
        <v>49</v>
      </c>
      <c r="J54">
        <f t="shared" si="0"/>
      </c>
    </row>
    <row r="55" spans="1:10" ht="12.75">
      <c r="A55">
        <v>154</v>
      </c>
      <c r="B55" t="str">
        <f>IF('Kohad_17-32'!B6="","",'Kohad_17-32'!B6)</f>
        <v>Hannes Lepik</v>
      </c>
      <c r="C55" t="str">
        <f>IF('Kohad_17-32'!B8="","",'Kohad_17-32'!B8)</f>
        <v>Raigo Rommot</v>
      </c>
      <c r="D55">
        <v>5</v>
      </c>
      <c r="E55" t="s">
        <v>159</v>
      </c>
      <c r="F55" s="33" t="s">
        <v>49</v>
      </c>
      <c r="J55">
        <f t="shared" si="0"/>
      </c>
    </row>
    <row r="56" spans="1:10" ht="12.75">
      <c r="A56">
        <v>155</v>
      </c>
      <c r="B56" t="str">
        <f>IF('Kohad_17-32'!B10="","",'Kohad_17-32'!B10)</f>
        <v>Kalle Kuuspalu</v>
      </c>
      <c r="C56" t="str">
        <f>IF('Kohad_17-32'!B12="","",'Kohad_17-32'!B12)</f>
        <v>Raivo Roots</v>
      </c>
      <c r="D56">
        <v>1</v>
      </c>
      <c r="E56" t="s">
        <v>156</v>
      </c>
      <c r="F56" s="33" t="s">
        <v>49</v>
      </c>
      <c r="J56">
        <f t="shared" si="0"/>
      </c>
    </row>
    <row r="57" spans="1:10" ht="12.75">
      <c r="A57">
        <v>156</v>
      </c>
      <c r="B57" t="str">
        <f>IF('Kohad_17-32'!B14="","",'Kohad_17-32'!B14)</f>
        <v>Arvi Merigan</v>
      </c>
      <c r="C57" t="str">
        <f>IF('Kohad_17-32'!B16="","",'Kohad_17-32'!B16)</f>
        <v>Alex Rahuoja</v>
      </c>
      <c r="D57">
        <v>7</v>
      </c>
      <c r="E57" t="s">
        <v>171</v>
      </c>
      <c r="F57" s="33" t="s">
        <v>49</v>
      </c>
      <c r="J57">
        <f t="shared" si="0"/>
      </c>
    </row>
    <row r="58" spans="1:10" ht="12.75">
      <c r="A58">
        <v>157</v>
      </c>
      <c r="B58" t="str">
        <f>IF(Plussring!K12="","",Plussring!K12)</f>
        <v>Antti Luigemaa</v>
      </c>
      <c r="C58" t="str">
        <f>IF(Plussring!K28="","",Plussring!K28)</f>
        <v>Urmas Sinisalu</v>
      </c>
      <c r="D58">
        <v>4</v>
      </c>
      <c r="E58" t="s">
        <v>112</v>
      </c>
      <c r="F58" s="33" t="s">
        <v>49</v>
      </c>
      <c r="G58" t="s">
        <v>105</v>
      </c>
      <c r="J58">
        <f t="shared" si="0"/>
      </c>
    </row>
    <row r="59" spans="1:10" ht="12.75">
      <c r="A59">
        <v>158</v>
      </c>
      <c r="B59" t="str">
        <f>IF(Plussring!K44="","",Plussring!K44)</f>
        <v>Mykhailo Plokhotniuk</v>
      </c>
      <c r="C59" t="str">
        <f>IF(Plussring!K60="","",Plussring!K60)</f>
        <v>Allan Salla</v>
      </c>
      <c r="D59">
        <v>4</v>
      </c>
      <c r="E59" t="s">
        <v>127</v>
      </c>
      <c r="F59" s="33" t="s">
        <v>51</v>
      </c>
      <c r="G59" t="s">
        <v>106</v>
      </c>
      <c r="J59">
        <f t="shared" si="0"/>
      </c>
    </row>
    <row r="60" spans="1:10" ht="12.75">
      <c r="A60">
        <v>159</v>
      </c>
      <c r="B60" t="str">
        <f>IF('Kohad_17-32'!B48="","",'Kohad_17-32'!B48)</f>
        <v>Jako Lill</v>
      </c>
      <c r="C60" t="str">
        <f>IF('Kohad_17-32'!B50="","",'Kohad_17-32'!B50)</f>
        <v>Bye Bye</v>
      </c>
      <c r="E60" t="s">
        <v>196</v>
      </c>
      <c r="F60" s="33" t="s">
        <v>52</v>
      </c>
      <c r="J60">
        <f t="shared" si="0"/>
      </c>
    </row>
    <row r="61" spans="1:10" ht="12.75">
      <c r="A61">
        <v>160</v>
      </c>
      <c r="B61" t="str">
        <f>IF('Kohad_17-32'!B52="","",'Kohad_17-32'!B52)</f>
        <v>Bye Bye</v>
      </c>
      <c r="C61" t="str">
        <f>IF('Kohad_17-32'!B54="","",'Kohad_17-32'!B54)</f>
        <v>Taivo Koitla</v>
      </c>
      <c r="E61" t="s">
        <v>193</v>
      </c>
      <c r="F61" s="33" t="s">
        <v>52</v>
      </c>
      <c r="J61">
        <f t="shared" si="0"/>
      </c>
    </row>
    <row r="62" spans="1:10" ht="12.75">
      <c r="A62">
        <v>161</v>
      </c>
      <c r="B62" t="str">
        <f>IF('Kohad_17-32'!E31="","",'Kohad_17-32'!E31)</f>
        <v>Anatoli Zapunov</v>
      </c>
      <c r="C62" t="str">
        <f>IF('Kohad_17-32'!E35="","",'Kohad_17-32'!E35)</f>
        <v>Heiki Hansar</v>
      </c>
      <c r="D62">
        <v>8</v>
      </c>
      <c r="E62" t="s">
        <v>184</v>
      </c>
      <c r="F62" s="33" t="s">
        <v>50</v>
      </c>
      <c r="J62">
        <f t="shared" si="0"/>
      </c>
    </row>
    <row r="63" spans="1:10" ht="12.75">
      <c r="A63">
        <v>162</v>
      </c>
      <c r="B63" t="str">
        <f>IF('Kohad_17-32'!E39="","",'Kohad_17-32'!E39)</f>
        <v>Joosep Hansar</v>
      </c>
      <c r="C63" t="str">
        <f>IF('Kohad_17-32'!E43="","",'Kohad_17-32'!E43)</f>
        <v>Aivar Soo</v>
      </c>
      <c r="D63">
        <v>2</v>
      </c>
      <c r="E63" t="s">
        <v>182</v>
      </c>
      <c r="F63" s="33" t="s">
        <v>50</v>
      </c>
      <c r="J63">
        <f t="shared" si="0"/>
      </c>
    </row>
    <row r="64" spans="1:10" ht="12.75">
      <c r="A64">
        <v>163</v>
      </c>
      <c r="B64" t="str">
        <f>IF('Kohad_3-16'!K5="","",'Kohad_3-16'!K5)</f>
        <v>Jimmy Lindborg</v>
      </c>
      <c r="C64" t="str">
        <f>IF('Kohad_3-16'!K9="","",'Kohad_3-16'!K9)</f>
        <v>Imre Korsen</v>
      </c>
      <c r="D64">
        <v>5</v>
      </c>
      <c r="E64" t="s">
        <v>147</v>
      </c>
      <c r="F64" s="33" t="s">
        <v>51</v>
      </c>
      <c r="J64">
        <f t="shared" si="0"/>
      </c>
    </row>
    <row r="65" spans="1:10" ht="12.75">
      <c r="A65">
        <v>164</v>
      </c>
      <c r="B65" t="str">
        <f>IF('Kohad_3-16'!K13="","",'Kohad_3-16'!K13)</f>
        <v>Eduard Virkunen</v>
      </c>
      <c r="C65" t="str">
        <f>IF('Kohad_3-16'!K17="","",'Kohad_3-16'!K17)</f>
        <v>Andres Somer</v>
      </c>
      <c r="D65">
        <v>2</v>
      </c>
      <c r="E65" t="s">
        <v>118</v>
      </c>
      <c r="F65" s="33" t="s">
        <v>49</v>
      </c>
      <c r="J65">
        <f t="shared" si="0"/>
      </c>
    </row>
    <row r="66" spans="1:10" ht="12.75">
      <c r="A66">
        <v>165</v>
      </c>
      <c r="B66" t="str">
        <f>IF('Kohad_3-16'!K21="","",'Kohad_3-16'!K21)</f>
        <v>Keit Reinsalu</v>
      </c>
      <c r="C66" t="str">
        <f>IF('Kohad_3-16'!K25="","",'Kohad_3-16'!K25)</f>
        <v>Vladyslav Rybachok</v>
      </c>
      <c r="D66">
        <v>5</v>
      </c>
      <c r="E66" t="s">
        <v>139</v>
      </c>
      <c r="F66" s="33" t="s">
        <v>49</v>
      </c>
      <c r="J66">
        <f aca="true" t="shared" si="1" ref="J66:J95">IF(D66="","",IF(E66="",D66,""))</f>
      </c>
    </row>
    <row r="67" spans="1:10" ht="12.75">
      <c r="A67">
        <v>166</v>
      </c>
      <c r="B67" t="str">
        <f>IF('Kohad_3-16'!K29="","",'Kohad_3-16'!K29)</f>
        <v>Ain Raid</v>
      </c>
      <c r="C67" t="str">
        <f>IF('Kohad_3-16'!K33="","",'Kohad_3-16'!K33)</f>
        <v>Veiko Ristissaar</v>
      </c>
      <c r="D67">
        <v>2</v>
      </c>
      <c r="E67" t="s">
        <v>133</v>
      </c>
      <c r="F67" s="33" t="s">
        <v>49</v>
      </c>
      <c r="J67">
        <f t="shared" si="1"/>
      </c>
    </row>
    <row r="68" spans="1:10" ht="12.75">
      <c r="A68">
        <v>167</v>
      </c>
      <c r="B68" t="str">
        <f>IF('Kohad_17-32'!B20="","",'Kohad_17-32'!B20)</f>
        <v>Taavi Miku</v>
      </c>
      <c r="C68" t="str">
        <f>IF('Kohad_17-32'!B22="","",'Kohad_17-32'!B22)</f>
        <v>Hannes Lepik</v>
      </c>
      <c r="D68">
        <v>1</v>
      </c>
      <c r="E68" t="s">
        <v>165</v>
      </c>
      <c r="F68" s="33" t="s">
        <v>49</v>
      </c>
      <c r="J68">
        <f t="shared" si="1"/>
      </c>
    </row>
    <row r="69" spans="1:10" ht="12.75">
      <c r="A69">
        <v>168</v>
      </c>
      <c r="B69" t="str">
        <f>IF('Kohad_17-32'!B24="","",'Kohad_17-32'!B24)</f>
        <v>Raivo Roots</v>
      </c>
      <c r="C69" t="str">
        <f>IF('Kohad_17-32'!B26="","",'Kohad_17-32'!B26)</f>
        <v>Alex Rahuoja</v>
      </c>
      <c r="D69">
        <v>7</v>
      </c>
      <c r="E69" t="s">
        <v>168</v>
      </c>
      <c r="F69" s="33" t="s">
        <v>49</v>
      </c>
      <c r="J69">
        <f t="shared" si="1"/>
      </c>
    </row>
    <row r="70" spans="1:10" ht="12.75">
      <c r="A70">
        <v>169</v>
      </c>
      <c r="B70" t="str">
        <f>IF('Kohad_17-32'!E3="","",'Kohad_17-32'!E3)</f>
        <v>Reino Ristissaar</v>
      </c>
      <c r="C70" t="str">
        <f>IF('Kohad_17-32'!E7="","",'Kohad_17-32'!E7)</f>
        <v>Raigo Rommot</v>
      </c>
      <c r="D70">
        <v>4</v>
      </c>
      <c r="E70" t="s">
        <v>144</v>
      </c>
      <c r="F70" s="33" t="s">
        <v>51</v>
      </c>
      <c r="J70">
        <f t="shared" si="1"/>
      </c>
    </row>
    <row r="71" spans="1:10" ht="12.75">
      <c r="A71">
        <v>170</v>
      </c>
      <c r="B71" t="str">
        <f>IF('Kohad_17-32'!E11="","",'Kohad_17-32'!E11)</f>
        <v>Kalle Kuuspalu</v>
      </c>
      <c r="C71" t="str">
        <f>IF('Kohad_17-32'!E15="","",'Kohad_17-32'!E15)</f>
        <v>Arvi Merigan</v>
      </c>
      <c r="D71">
        <v>1</v>
      </c>
      <c r="E71" t="s">
        <v>156</v>
      </c>
      <c r="F71" s="33" t="s">
        <v>49</v>
      </c>
      <c r="J71">
        <f t="shared" si="1"/>
      </c>
    </row>
    <row r="72" spans="1:10" ht="12.75">
      <c r="A72">
        <v>171</v>
      </c>
      <c r="B72" t="str">
        <f>IF('Kohad_3-16'!B51="","",'Kohad_3-16'!B51)</f>
        <v>Tõnu Hansar</v>
      </c>
      <c r="C72" t="str">
        <f>IF('Kohad_3-16'!B53="","",'Kohad_3-16'!B53)</f>
        <v>Heikki Sool</v>
      </c>
      <c r="D72">
        <v>8</v>
      </c>
      <c r="E72" t="s">
        <v>153</v>
      </c>
      <c r="F72" s="33" t="s">
        <v>49</v>
      </c>
      <c r="J72">
        <f t="shared" si="1"/>
      </c>
    </row>
    <row r="73" spans="1:10" ht="12.75">
      <c r="A73">
        <v>172</v>
      </c>
      <c r="B73" t="str">
        <f>IF('Kohad_3-16'!B55="","",'Kohad_3-16'!B55)</f>
        <v>Marko Perendi</v>
      </c>
      <c r="C73" t="str">
        <f>IF('Kohad_3-16'!B57="","",'Kohad_3-16'!B57)</f>
        <v>Kalju Kalda</v>
      </c>
      <c r="D73">
        <v>6</v>
      </c>
      <c r="E73" t="s">
        <v>142</v>
      </c>
      <c r="F73" s="33" t="s">
        <v>49</v>
      </c>
      <c r="J73">
        <f t="shared" si="1"/>
      </c>
    </row>
    <row r="74" spans="1:10" ht="12.75">
      <c r="A74">
        <v>173</v>
      </c>
      <c r="B74" t="str">
        <f>IF('Kohad_3-16'!N7="","",'Kohad_3-16'!N7)</f>
        <v>Jimmy Lindborg</v>
      </c>
      <c r="C74" t="str">
        <f>IF('Kohad_3-16'!N15="","",'Kohad_3-16'!N15)</f>
        <v>Andres Somer</v>
      </c>
      <c r="D74">
        <v>5</v>
      </c>
      <c r="E74" t="s">
        <v>118</v>
      </c>
      <c r="F74" s="33" t="s">
        <v>49</v>
      </c>
      <c r="J74">
        <f t="shared" si="1"/>
      </c>
    </row>
    <row r="75" spans="1:10" ht="12.75">
      <c r="A75">
        <v>174</v>
      </c>
      <c r="B75" t="str">
        <f>IF('Kohad_3-16'!N23="","",'Kohad_3-16'!N23)</f>
        <v>Keit Reinsalu</v>
      </c>
      <c r="C75" t="str">
        <f>IF('Kohad_3-16'!N31="","",'Kohad_3-16'!N31)</f>
        <v>Veiko Ristissaar</v>
      </c>
      <c r="D75">
        <v>2</v>
      </c>
      <c r="E75" t="s">
        <v>139</v>
      </c>
      <c r="F75" s="33" t="s">
        <v>49</v>
      </c>
      <c r="J75">
        <f t="shared" si="1"/>
      </c>
    </row>
    <row r="76" spans="1:10" ht="12.75">
      <c r="A76">
        <v>175</v>
      </c>
      <c r="B76" t="str">
        <f>IF('Kohad_3-16'!B43="","",'Kohad_3-16'!B43)</f>
        <v>Imre Korsen</v>
      </c>
      <c r="C76" t="str">
        <f>IF('Kohad_3-16'!B45="","",'Kohad_3-16'!B45)</f>
        <v>Eduard Virkunen</v>
      </c>
      <c r="D76">
        <v>7</v>
      </c>
      <c r="E76" t="s">
        <v>130</v>
      </c>
      <c r="F76" s="33" t="s">
        <v>51</v>
      </c>
      <c r="J76">
        <f t="shared" si="1"/>
      </c>
    </row>
    <row r="77" spans="1:10" ht="12.75">
      <c r="A77">
        <v>176</v>
      </c>
      <c r="B77" t="str">
        <f>IF('Kohad_3-16'!B47="","",'Kohad_3-16'!B47)</f>
        <v>Vladyslav Rybachok</v>
      </c>
      <c r="C77" t="str">
        <f>IF('Kohad_3-16'!B49="","",'Kohad_3-16'!B49)</f>
        <v>Ain Raid</v>
      </c>
      <c r="D77">
        <v>1</v>
      </c>
      <c r="E77" t="s">
        <v>124</v>
      </c>
      <c r="F77" s="33" t="s">
        <v>50</v>
      </c>
      <c r="J77">
        <f t="shared" si="1"/>
      </c>
    </row>
    <row r="78" spans="1:10" ht="12.75">
      <c r="A78">
        <v>177</v>
      </c>
      <c r="B78" t="str">
        <f>IF(Plussring!N20="","",Plussring!N20)</f>
        <v>Antti Luigemaa</v>
      </c>
      <c r="C78" t="str">
        <f>IF(Plussring!N52="","",Plussring!N52)</f>
        <v>Mykhailo Plokhotniuk</v>
      </c>
      <c r="D78">
        <v>5</v>
      </c>
      <c r="E78" t="s">
        <v>112</v>
      </c>
      <c r="F78" s="33" t="s">
        <v>50</v>
      </c>
      <c r="G78" t="s">
        <v>59</v>
      </c>
      <c r="J78">
        <f t="shared" si="1"/>
      </c>
    </row>
    <row r="79" spans="1:10" ht="12.75">
      <c r="A79">
        <v>178</v>
      </c>
      <c r="B79" t="str">
        <f>IF('Kohad_17-32'!N57="","",'Kohad_17-32'!N57)</f>
        <v>Bye Bye</v>
      </c>
      <c r="C79" t="str">
        <f>IF('Kohad_17-32'!N59="","",'Kohad_17-32'!N59)</f>
        <v>Bye Bye</v>
      </c>
      <c r="E79" t="s">
        <v>198</v>
      </c>
      <c r="F79" s="33" t="s">
        <v>52</v>
      </c>
      <c r="G79" t="s">
        <v>60</v>
      </c>
      <c r="J79">
        <f t="shared" si="1"/>
      </c>
    </row>
    <row r="80" spans="1:10" ht="12.75">
      <c r="A80">
        <v>179</v>
      </c>
      <c r="B80" t="str">
        <f>IF('Kohad_17-32'!E49="","",'Kohad_17-32'!E49)</f>
        <v>Jako Lill</v>
      </c>
      <c r="C80" t="str">
        <f>IF('Kohad_17-32'!E53="","",'Kohad_17-32'!E53)</f>
        <v>Taivo Koitla</v>
      </c>
      <c r="D80">
        <v>9</v>
      </c>
      <c r="E80" t="s">
        <v>193</v>
      </c>
      <c r="F80" s="33" t="s">
        <v>51</v>
      </c>
      <c r="G80" t="s">
        <v>61</v>
      </c>
      <c r="J80">
        <f t="shared" si="1"/>
      </c>
    </row>
    <row r="81" spans="1:10" ht="12.75">
      <c r="A81">
        <v>180</v>
      </c>
      <c r="B81" t="str">
        <f>IF('Kohad_17-32'!N46="","",'Kohad_17-32'!N46)</f>
        <v>Anatoli Zapunov</v>
      </c>
      <c r="C81" t="str">
        <f>IF('Kohad_17-32'!N48="","",'Kohad_17-32'!N48)</f>
        <v>Aivar Soo</v>
      </c>
      <c r="D81">
        <v>2</v>
      </c>
      <c r="E81" t="s">
        <v>190</v>
      </c>
      <c r="F81" s="33" t="s">
        <v>49</v>
      </c>
      <c r="G81" t="s">
        <v>62</v>
      </c>
      <c r="J81">
        <f t="shared" si="1"/>
      </c>
    </row>
    <row r="82" spans="1:10" ht="12.75">
      <c r="A82">
        <v>181</v>
      </c>
      <c r="B82" t="str">
        <f>IF('Kohad_17-32'!H33="","",'Kohad_17-32'!H33)</f>
        <v>Heiki Hansar</v>
      </c>
      <c r="C82" t="str">
        <f>IF('Kohad_17-32'!H41="","",'Kohad_17-32'!H41)</f>
        <v>Joosep Hansar</v>
      </c>
      <c r="D82">
        <v>9</v>
      </c>
      <c r="E82" t="s">
        <v>182</v>
      </c>
      <c r="F82" s="33" t="s">
        <v>51</v>
      </c>
      <c r="G82" t="s">
        <v>63</v>
      </c>
      <c r="J82">
        <f t="shared" si="1"/>
      </c>
    </row>
    <row r="83" spans="1:10" ht="12.75">
      <c r="A83">
        <v>182</v>
      </c>
      <c r="B83" t="str">
        <f>IF('Kohad_17-32'!N29="","",'Kohad_17-32'!N29)</f>
        <v>Hannes Lepik</v>
      </c>
      <c r="C83" t="str">
        <f>IF('Kohad_17-32'!N31="","",'Kohad_17-32'!N31)</f>
        <v>Raivo Roots</v>
      </c>
      <c r="D83">
        <v>7</v>
      </c>
      <c r="E83" t="s">
        <v>177</v>
      </c>
      <c r="F83" s="33" t="s">
        <v>49</v>
      </c>
      <c r="G83" t="s">
        <v>64</v>
      </c>
      <c r="J83">
        <f t="shared" si="1"/>
      </c>
    </row>
    <row r="84" spans="1:10" ht="12.75">
      <c r="A84">
        <v>183</v>
      </c>
      <c r="B84" t="str">
        <f>IF('Kohad_3-16'!B35="","",'Kohad_3-16'!B35)</f>
        <v>Urmas Sinisalu</v>
      </c>
      <c r="C84" t="str">
        <f>IF('Kohad_3-16'!B37="","",'Kohad_3-16'!B37)</f>
        <v>Andres Somer</v>
      </c>
      <c r="D84">
        <v>5</v>
      </c>
      <c r="E84" t="s">
        <v>118</v>
      </c>
      <c r="F84" s="33" t="s">
        <v>50</v>
      </c>
      <c r="J84">
        <f t="shared" si="1"/>
      </c>
    </row>
    <row r="85" spans="1:10" ht="12.75">
      <c r="A85">
        <v>184</v>
      </c>
      <c r="B85" t="str">
        <f>IF('Kohad_3-16'!B39="","",'Kohad_3-16'!B39)</f>
        <v>Allan Salla</v>
      </c>
      <c r="C85" t="str">
        <f>IF('Kohad_3-16'!B41="","",'Kohad_3-16'!B41)</f>
        <v>Keit Reinsalu</v>
      </c>
      <c r="E85" t="s">
        <v>115</v>
      </c>
      <c r="F85" s="33" t="s">
        <v>50</v>
      </c>
      <c r="J85">
        <f t="shared" si="1"/>
      </c>
    </row>
    <row r="86" spans="1:10" ht="12.75">
      <c r="A86">
        <v>185</v>
      </c>
      <c r="B86" t="str">
        <f>IF('Kohad_17-32'!E21="","",'Kohad_17-32'!E21)</f>
        <v>Taavi Miku</v>
      </c>
      <c r="C86" t="str">
        <f>IF('Kohad_17-32'!E25="","",'Kohad_17-32'!E25)</f>
        <v>Alex Rahuoja</v>
      </c>
      <c r="D86">
        <v>8</v>
      </c>
      <c r="E86" t="s">
        <v>168</v>
      </c>
      <c r="F86" s="33" t="s">
        <v>49</v>
      </c>
      <c r="G86" t="s">
        <v>65</v>
      </c>
      <c r="J86">
        <f t="shared" si="1"/>
      </c>
    </row>
    <row r="87" spans="1:10" ht="12.75">
      <c r="A87">
        <v>186</v>
      </c>
      <c r="B87" t="str">
        <f>IF('Kohad_17-32'!N18="","",'Kohad_17-32'!N18)</f>
        <v>Raigo Rommot</v>
      </c>
      <c r="C87" t="str">
        <f>IF('Kohad_17-32'!N20="","",'Kohad_17-32'!N20)</f>
        <v>Arvi Merigan</v>
      </c>
      <c r="D87">
        <v>6</v>
      </c>
      <c r="E87" t="s">
        <v>159</v>
      </c>
      <c r="F87" s="33" t="s">
        <v>51</v>
      </c>
      <c r="G87" t="s">
        <v>66</v>
      </c>
      <c r="J87">
        <f t="shared" si="1"/>
      </c>
    </row>
    <row r="88" spans="1:10" ht="12.75">
      <c r="A88">
        <v>187</v>
      </c>
      <c r="B88" t="str">
        <f>IF('Kohad_17-32'!H5="","",'Kohad_17-32'!H5)</f>
        <v>Reino Ristissaar</v>
      </c>
      <c r="C88" t="str">
        <f>IF('Kohad_17-32'!H13="","",'Kohad_17-32'!H13)</f>
        <v>Kalle Kuuspalu</v>
      </c>
      <c r="D88">
        <v>4</v>
      </c>
      <c r="E88" t="s">
        <v>144</v>
      </c>
      <c r="F88" s="33" t="s">
        <v>50</v>
      </c>
      <c r="G88" t="s">
        <v>67</v>
      </c>
      <c r="J88">
        <f t="shared" si="1"/>
      </c>
    </row>
    <row r="89" spans="1:10" ht="12.75">
      <c r="A89">
        <v>188</v>
      </c>
      <c r="B89" t="str">
        <f>IF('Kohad_3-16'!N55="","",'Kohad_3-16'!N55)</f>
        <v>Tõnu Hansar</v>
      </c>
      <c r="C89" t="str">
        <f>IF('Kohad_3-16'!N57="","",'Kohad_3-16'!N57)</f>
        <v>Marko Perendi</v>
      </c>
      <c r="D89">
        <v>6</v>
      </c>
      <c r="E89" t="s">
        <v>162</v>
      </c>
      <c r="F89" s="33" t="s">
        <v>51</v>
      </c>
      <c r="G89" t="s">
        <v>68</v>
      </c>
      <c r="J89">
        <f t="shared" si="1"/>
      </c>
    </row>
    <row r="90" spans="1:10" ht="12.75">
      <c r="A90">
        <v>189</v>
      </c>
      <c r="B90" t="str">
        <f>IF('Kohad_3-16'!E52="","",'Kohad_3-16'!E52)</f>
        <v>Heikki Sool</v>
      </c>
      <c r="C90" t="str">
        <f>IF('Kohad_3-16'!E56="","",'Kohad_3-16'!E56)</f>
        <v>Kalju Kalda</v>
      </c>
      <c r="D90">
        <v>7</v>
      </c>
      <c r="E90" t="s">
        <v>142</v>
      </c>
      <c r="F90" s="33" t="s">
        <v>51</v>
      </c>
      <c r="G90" t="s">
        <v>69</v>
      </c>
      <c r="J90">
        <f t="shared" si="1"/>
      </c>
    </row>
    <row r="91" spans="1:10" ht="12.75">
      <c r="A91">
        <v>190</v>
      </c>
      <c r="B91" t="str">
        <f>IF('Kohad_3-16'!N47="","",'Kohad_3-16'!N47)</f>
        <v>Eduard Virkunen</v>
      </c>
      <c r="C91" t="str">
        <f>IF('Kohad_3-16'!N49="","",'Kohad_3-16'!N49)</f>
        <v>Ain Raid</v>
      </c>
      <c r="D91">
        <v>7</v>
      </c>
      <c r="E91" t="s">
        <v>150</v>
      </c>
      <c r="F91" s="33" t="s">
        <v>50</v>
      </c>
      <c r="G91" t="s">
        <v>70</v>
      </c>
      <c r="J91">
        <f t="shared" si="1"/>
      </c>
    </row>
    <row r="92" spans="1:10" ht="12.75">
      <c r="A92">
        <v>191</v>
      </c>
      <c r="B92" t="str">
        <f>IF('Kohad_3-16'!E44="","",'Kohad_3-16'!E44)</f>
        <v>Imre Korsen</v>
      </c>
      <c r="C92" t="str">
        <f>IF('Kohad_3-16'!E48="","",'Kohad_3-16'!E48)</f>
        <v>Vladyslav Rybachok</v>
      </c>
      <c r="D92">
        <v>1</v>
      </c>
      <c r="E92" t="s">
        <v>124</v>
      </c>
      <c r="F92" s="33" t="s">
        <v>51</v>
      </c>
      <c r="G92" t="s">
        <v>71</v>
      </c>
      <c r="J92">
        <f t="shared" si="1"/>
      </c>
    </row>
    <row r="93" spans="1:10" ht="12.75">
      <c r="A93">
        <v>192</v>
      </c>
      <c r="B93" t="str">
        <f>IF('Kohad_3-16'!N41="","",'Kohad_3-16'!N41)</f>
        <v>Jimmy Lindborg</v>
      </c>
      <c r="C93" t="str">
        <f>IF('Kohad_3-16'!N43="","",'Kohad_3-16'!N43)</f>
        <v>Veiko Ristissaar</v>
      </c>
      <c r="D93">
        <v>6</v>
      </c>
      <c r="E93" t="s">
        <v>133</v>
      </c>
      <c r="F93" s="33" t="s">
        <v>50</v>
      </c>
      <c r="G93" t="s">
        <v>72</v>
      </c>
      <c r="J93">
        <f t="shared" si="1"/>
      </c>
    </row>
    <row r="94" spans="1:10" ht="12.75">
      <c r="A94">
        <v>193</v>
      </c>
      <c r="B94" t="str">
        <f>IF('Kohad_3-16'!N35="","",'Kohad_3-16'!N35)</f>
        <v>Urmas Sinisalu</v>
      </c>
      <c r="C94" t="str">
        <f>IF('Kohad_3-16'!N37="","",'Kohad_3-16'!N37)</f>
        <v>Keit Reinsalu</v>
      </c>
      <c r="D94">
        <v>4</v>
      </c>
      <c r="E94" t="s">
        <v>121</v>
      </c>
      <c r="F94" s="33" t="s">
        <v>50</v>
      </c>
      <c r="G94" t="s">
        <v>73</v>
      </c>
      <c r="J94">
        <f t="shared" si="1"/>
      </c>
    </row>
    <row r="95" spans="1:10" ht="12.75">
      <c r="A95">
        <v>194</v>
      </c>
      <c r="B95" t="str">
        <f>IF('Kohad_3-16'!E36="","",'Kohad_3-16'!E36)</f>
        <v>Andres Somer</v>
      </c>
      <c r="C95" t="str">
        <f>IF('Kohad_3-16'!E40="","",'Kohad_3-16'!E40)</f>
        <v>Allan Salla</v>
      </c>
      <c r="D95">
        <v>5</v>
      </c>
      <c r="E95" t="s">
        <v>115</v>
      </c>
      <c r="F95" s="33" t="s">
        <v>50</v>
      </c>
      <c r="G95" t="s">
        <v>74</v>
      </c>
      <c r="J95">
        <f t="shared" si="1"/>
      </c>
    </row>
  </sheetData>
  <sheetProtection selectLockedCells="1" selectUnlockedCells="1"/>
  <conditionalFormatting sqref="D2:D95">
    <cfRule type="expression" priority="1" dxfId="0" stopIfTrue="1">
      <formula>E2&lt;&gt;""</formula>
    </cfRule>
  </conditionalFormatting>
  <dataValidations count="4">
    <dataValidation type="list" allowBlank="1" showInputMessage="1" showErrorMessage="1" sqref="E2:E95">
      <formula1>B2:C2</formula1>
    </dataValidation>
    <dataValidation type="list" allowBlank="1" showErrorMessage="1" sqref="D2:D94">
      <formula1>$K$1:$AP$1</formula1>
    </dataValidation>
    <dataValidation type="list" allowBlank="1" showErrorMessage="1" sqref="D95">
      <formula1>$K$1:$AQ$1</formula1>
    </dataValidation>
    <dataValidation type="list" allowBlank="1" showInputMessage="1" showErrorMessage="1" sqref="F2:F95">
      <formula1>$H$2:$H$11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33"/>
  <sheetViews>
    <sheetView zoomScalePageLayoutView="0" workbookViewId="0" topLeftCell="A26">
      <selection activeCell="B30" sqref="B30"/>
    </sheetView>
  </sheetViews>
  <sheetFormatPr defaultColWidth="9.140625" defaultRowHeight="12.75"/>
  <cols>
    <col min="2" max="2" width="24.8515625" style="0" customWidth="1"/>
    <col min="3" max="3" width="19.421875" style="0" customWidth="1"/>
    <col min="4" max="4" width="11.8515625" style="0" customWidth="1"/>
  </cols>
  <sheetData>
    <row r="1" spans="1:4" ht="17.25">
      <c r="A1" s="24" t="s">
        <v>75</v>
      </c>
      <c r="B1" s="24" t="s">
        <v>2</v>
      </c>
      <c r="C1" s="46" t="s">
        <v>108</v>
      </c>
      <c r="D1" s="46" t="s">
        <v>109</v>
      </c>
    </row>
    <row r="2" spans="1:4" ht="15">
      <c r="A2" s="25">
        <v>1</v>
      </c>
      <c r="B2" s="25" t="str">
        <f>IF(Plussring!Q36="","",Plussring!Q36)</f>
        <v>Antti Luigemaa</v>
      </c>
      <c r="C2" s="47">
        <f>IF(IF(OR(B2="",B2="bye bye"),"",VLOOKUP(B2,Paigutus!$D$3:$H$34,4,FALSE))=0,"",IF(OR(B2="",B2="bye bye"),"",VLOOKUP(B2,Paigutus!$D$3:$H$34,4,FALSE)))</f>
      </c>
      <c r="D2" s="47">
        <f>IF(IF(OR(B2="",B2="bye bye"),"",VLOOKUP(B2,Paigutus!$D$3:$H$34,5,FALSE))=0,"",IF(OR(B2="",B2="bye bye"),"",VLOOKUP(B2,Paigutus!$D$3:$H$34,5,FALSE)))</f>
      </c>
    </row>
    <row r="3" spans="1:4" ht="15">
      <c r="A3" s="25">
        <v>2</v>
      </c>
      <c r="B3" s="25" t="str">
        <f>IF(Plussring!Q64="","",Plussring!Q64)</f>
        <v>Mykhailo Plokhotniuk</v>
      </c>
      <c r="C3" s="47">
        <f>IF(IF(OR(B3="",B3="bye bye"),"",VLOOKUP(B3,Paigutus!$D$3:$H$34,4,FALSE))=0,"",IF(OR(B3="",B3="bye bye"),"",VLOOKUP(B3,Paigutus!$D$3:$H$34,4,FALSE)))</f>
      </c>
      <c r="D3" s="47">
        <f>IF(IF(OR(B3="",B3="bye bye"),"",VLOOKUP(B3,Paigutus!$D$3:$H$34,5,FALSE))=0,"",IF(OR(B3="",B3="bye bye"),"",VLOOKUP(B3,Paigutus!$D$3:$H$34,5,FALSE)))</f>
      </c>
    </row>
    <row r="4" spans="1:4" ht="15">
      <c r="A4" s="25">
        <v>3</v>
      </c>
      <c r="B4" s="25" t="str">
        <f>IF('Kohad_3-16'!H38="","",'Kohad_3-16'!H38)</f>
        <v>Allan Salla</v>
      </c>
      <c r="C4" s="47">
        <f>IF(IF(OR(B4="",B4="bye bye"),"",VLOOKUP(B4,Paigutus!$D$3:$H$34,4,FALSE))=0,"",IF(OR(B4="",B4="bye bye"),"",VLOOKUP(B4,Paigutus!$D$3:$H$34,4,FALSE)))</f>
      </c>
      <c r="D4" s="47">
        <f>IF(IF(OR(B4="",B4="bye bye"),"",VLOOKUP(B4,Paigutus!$D$3:$H$34,5,FALSE))=0,"",IF(OR(B4="",B4="bye bye"),"",VLOOKUP(B4,Paigutus!$D$3:$H$34,5,FALSE)))</f>
      </c>
    </row>
    <row r="5" spans="1:4" ht="15">
      <c r="A5" s="25">
        <v>4</v>
      </c>
      <c r="B5" s="25" t="str">
        <f>IF('Kohad_3-16'!H42="","",'Kohad_3-16'!H42)</f>
        <v>Andres Somer</v>
      </c>
      <c r="C5" s="47">
        <f>IF(IF(OR(B5="",B5="bye bye"),"",VLOOKUP(B5,Paigutus!$D$3:$H$34,4,FALSE))=0,"",IF(OR(B5="",B5="bye bye"),"",VLOOKUP(B5,Paigutus!$D$3:$H$34,4,FALSE)))</f>
      </c>
      <c r="D5" s="47">
        <f>IF(IF(OR(B5="",B5="bye bye"),"",VLOOKUP(B5,Paigutus!$D$3:$H$34,5,FALSE))=0,"",IF(OR(B5="",B5="bye bye"),"",VLOOKUP(B5,Paigutus!$D$3:$H$34,5,FALSE)))</f>
      </c>
    </row>
    <row r="6" spans="1:4" ht="15">
      <c r="A6" s="25">
        <v>5</v>
      </c>
      <c r="B6" s="25" t="str">
        <f>IF('Kohad_3-16'!Q36="","",'Kohad_3-16'!Q27)</f>
        <v>Keit Reinsalu</v>
      </c>
      <c r="C6" s="47">
        <f>IF(IF(OR(B6="",B6="bye bye"),"",VLOOKUP(B6,Paigutus!$D$3:$H$34,4,FALSE))=0,"",IF(OR(B6="",B6="bye bye"),"",VLOOKUP(B6,Paigutus!$D$3:$H$34,4,FALSE)))</f>
      </c>
      <c r="D6" s="47">
        <f>IF(IF(OR(B6="",B6="bye bye"),"",VLOOKUP(B6,Paigutus!$D$3:$H$34,5,FALSE))=0,"",IF(OR(B6="",B6="bye bye"),"",VLOOKUP(B6,Paigutus!$D$3:$H$34,5,FALSE)))</f>
      </c>
    </row>
    <row r="7" spans="1:4" ht="15">
      <c r="A7" s="25">
        <v>6</v>
      </c>
      <c r="B7" s="25" t="str">
        <f>IF('Kohad_3-16'!Q39="","",'Kohad_3-16'!Q39)</f>
        <v>Keit Reinsalu</v>
      </c>
      <c r="C7" s="47">
        <f>IF(IF(OR(B7="",B7="bye bye"),"",VLOOKUP(B7,Paigutus!$D$3:$H$34,4,FALSE))=0,"",IF(OR(B7="",B7="bye bye"),"",VLOOKUP(B7,Paigutus!$D$3:$H$34,4,FALSE)))</f>
      </c>
      <c r="D7" s="47">
        <f>IF(IF(OR(B7="",B7="bye bye"),"",VLOOKUP(B7,Paigutus!$D$3:$H$34,5,FALSE))=0,"",IF(OR(B7="",B7="bye bye"),"",VLOOKUP(B7,Paigutus!$D$3:$H$34,5,FALSE)))</f>
      </c>
    </row>
    <row r="8" spans="1:4" ht="15">
      <c r="A8" s="25">
        <v>7</v>
      </c>
      <c r="B8" s="25" t="str">
        <f>IF('Kohad_3-16'!Q42="","",'Kohad_3-16'!Q42)</f>
        <v>Veiko Ristissaar</v>
      </c>
      <c r="C8" s="47">
        <f>IF(IF(OR(B8="",B8="bye bye"),"",VLOOKUP(B8,Paigutus!$D$3:$H$34,4,FALSE))=0,"",IF(OR(B8="",B8="bye bye"),"",VLOOKUP(B8,Paigutus!$D$3:$H$34,4,FALSE)))</f>
      </c>
      <c r="D8" s="47">
        <f>IF(IF(OR(B8="",B8="bye bye"),"",VLOOKUP(B8,Paigutus!$D$3:$H$34,5,FALSE))=0,"",IF(OR(B8="",B8="bye bye"),"",VLOOKUP(B8,Paigutus!$D$3:$H$34,5,FALSE)))</f>
      </c>
    </row>
    <row r="9" spans="1:4" ht="15">
      <c r="A9" s="25">
        <v>8</v>
      </c>
      <c r="B9" s="25" t="str">
        <f>IF('Kohad_3-16'!Q45="","",'Kohad_3-16'!Q45)</f>
        <v>Jimmy Lindborg</v>
      </c>
      <c r="C9" s="47">
        <f>IF(IF(OR(B9="",B9="bye bye"),"",VLOOKUP(B9,Paigutus!$D$3:$H$34,4,FALSE))=0,"",IF(OR(B9="",B9="bye bye"),"",VLOOKUP(B9,Paigutus!$D$3:$H$34,4,FALSE)))</f>
      </c>
      <c r="D9" s="47">
        <f>IF(IF(OR(B9="",B9="bye bye"),"",VLOOKUP(B9,Paigutus!$D$3:$H$34,5,FALSE))=0,"",IF(OR(B9="",B9="bye bye"),"",VLOOKUP(B9,Paigutus!$D$3:$H$34,5,FALSE)))</f>
      </c>
    </row>
    <row r="10" spans="1:4" ht="15">
      <c r="A10" s="25">
        <v>9</v>
      </c>
      <c r="B10" s="25" t="str">
        <f>IF('Kohad_3-16'!H46="","",'Kohad_3-16'!H46)</f>
        <v>Vladyslav Rybachok</v>
      </c>
      <c r="C10" s="47">
        <f>IF(IF(OR(B10="",B10="bye bye"),"",VLOOKUP(B10,Paigutus!$D$3:$H$34,4,FALSE))=0,"",IF(OR(B10="",B10="bye bye"),"",VLOOKUP(B10,Paigutus!$D$3:$H$34,4,FALSE)))</f>
      </c>
      <c r="D10" s="47">
        <f>IF(IF(OR(B10="",B10="bye bye"),"",VLOOKUP(B10,Paigutus!$D$3:$H$34,5,FALSE))=0,"",IF(OR(B10="",B10="bye bye"),"",VLOOKUP(B10,Paigutus!$D$3:$H$34,5,FALSE)))</f>
      </c>
    </row>
    <row r="11" spans="1:4" ht="15">
      <c r="A11" s="25">
        <v>10</v>
      </c>
      <c r="B11" s="25" t="str">
        <f>IF('Kohad_3-16'!H50="","",'Kohad_3-16'!H50)</f>
        <v>Imre Korsen</v>
      </c>
      <c r="C11" s="47">
        <f>IF(IF(OR(B11="",B11="bye bye"),"",VLOOKUP(B11,Paigutus!$D$3:$H$34,4,FALSE))=0,"",IF(OR(B11="",B11="bye bye"),"",VLOOKUP(B11,Paigutus!$D$3:$H$34,4,FALSE)))</f>
      </c>
      <c r="D11" s="47">
        <f>IF(IF(OR(B11="",B11="bye bye"),"",VLOOKUP(B11,Paigutus!$D$3:$H$34,5,FALSE))=0,"",IF(OR(B11="",B11="bye bye"),"",VLOOKUP(B11,Paigutus!$D$3:$H$34,5,FALSE)))</f>
      </c>
    </row>
    <row r="12" spans="1:4" ht="15">
      <c r="A12" s="25">
        <v>11</v>
      </c>
      <c r="B12" s="25" t="str">
        <f>IF('Kohad_3-16'!Q48="","",'Kohad_3-16'!Q48)</f>
        <v>Ain Raid</v>
      </c>
      <c r="C12" s="47">
        <f>IF(IF(OR(B12="",B12="bye bye"),"",VLOOKUP(B12,Paigutus!$D$3:$H$34,4,FALSE))=0,"",IF(OR(B12="",B12="bye bye"),"",VLOOKUP(B12,Paigutus!$D$3:$H$34,4,FALSE)))</f>
      </c>
      <c r="D12" s="47">
        <f>IF(IF(OR(B12="",B12="bye bye"),"",VLOOKUP(B12,Paigutus!$D$3:$H$34,5,FALSE))=0,"",IF(OR(B12="",B12="bye bye"),"",VLOOKUP(B12,Paigutus!$D$3:$H$34,5,FALSE)))</f>
      </c>
    </row>
    <row r="13" spans="1:4" ht="15">
      <c r="A13" s="25">
        <v>12</v>
      </c>
      <c r="B13" s="25" t="str">
        <f>IF('Kohad_3-16'!Q51="","",'Kohad_3-16'!Q51)</f>
        <v>Eduard Virkunen</v>
      </c>
      <c r="C13" s="47">
        <f>IF(IF(OR(B13="",B13="bye bye"),"",VLOOKUP(B13,Paigutus!$D$3:$H$34,4,FALSE))=0,"",IF(OR(B13="",B13="bye bye"),"",VLOOKUP(B13,Paigutus!$D$3:$H$34,4,FALSE)))</f>
      </c>
      <c r="D13" s="47">
        <f>IF(IF(OR(B13="",B13="bye bye"),"",VLOOKUP(B13,Paigutus!$D$3:$H$34,5,FALSE))=0,"",IF(OR(B13="",B13="bye bye"),"",VLOOKUP(B13,Paigutus!$D$3:$H$34,5,FALSE)))</f>
      </c>
    </row>
    <row r="14" spans="1:4" ht="15">
      <c r="A14" s="25">
        <v>13</v>
      </c>
      <c r="B14" s="25" t="str">
        <f>IF('Kohad_3-16'!H54="","",'Kohad_3-16'!H54)</f>
        <v>Kalju Kalda</v>
      </c>
      <c r="C14" s="47">
        <f>IF(IF(OR(B14="",B14="bye bye"),"",VLOOKUP(B14,Paigutus!$D$3:$H$34,4,FALSE))=0,"",IF(OR(B14="",B14="bye bye"),"",VLOOKUP(B14,Paigutus!$D$3:$H$34,4,FALSE)))</f>
      </c>
      <c r="D14" s="47">
        <f>IF(IF(OR(B14="",B14="bye bye"),"",VLOOKUP(B14,Paigutus!$D$3:$H$34,5,FALSE))=0,"",IF(OR(B14="",B14="bye bye"),"",VLOOKUP(B14,Paigutus!$D$3:$H$34,5,FALSE)))</f>
      </c>
    </row>
    <row r="15" spans="1:4" ht="15">
      <c r="A15" s="25">
        <v>14</v>
      </c>
      <c r="B15" s="25" t="str">
        <f>IF('Kohad_3-16'!H58="","",'Kohad_3-16'!H58)</f>
        <v>Heikki Sool</v>
      </c>
      <c r="C15" s="47">
        <f>IF(IF(OR(B15="",B15="bye bye"),"",VLOOKUP(B15,Paigutus!$D$3:$H$34,4,FALSE))=0,"",IF(OR(B15="",B15="bye bye"),"",VLOOKUP(B15,Paigutus!$D$3:$H$34,4,FALSE)))</f>
      </c>
      <c r="D15" s="47">
        <f>IF(IF(OR(B15="",B15="bye bye"),"",VLOOKUP(B15,Paigutus!$D$3:$H$34,5,FALSE))=0,"",IF(OR(B15="",B15="bye bye"),"",VLOOKUP(B15,Paigutus!$D$3:$H$34,5,FALSE)))</f>
      </c>
    </row>
    <row r="16" spans="1:4" ht="15">
      <c r="A16" s="25">
        <v>15</v>
      </c>
      <c r="B16" s="25" t="str">
        <f>IF('Kohad_3-16'!Q56="","",'Kohad_3-16'!Q56)</f>
        <v>Marko Perendi</v>
      </c>
      <c r="C16" s="47">
        <f>IF(IF(OR(B16="",B16="bye bye"),"",VLOOKUP(B16,Paigutus!$D$3:$H$34,4,FALSE))=0,"",IF(OR(B16="",B16="bye bye"),"",VLOOKUP(B16,Paigutus!$D$3:$H$34,4,FALSE)))</f>
      </c>
      <c r="D16" s="47">
        <f>IF(IF(OR(B16="",B16="bye bye"),"",VLOOKUP(B16,Paigutus!$D$3:$H$34,5,FALSE))=0,"",IF(OR(B16="",B16="bye bye"),"",VLOOKUP(B16,Paigutus!$D$3:$H$34,5,FALSE)))</f>
      </c>
    </row>
    <row r="17" spans="1:4" ht="15">
      <c r="A17" s="25">
        <v>16</v>
      </c>
      <c r="B17" s="25" t="str">
        <f>IF('Kohad_3-16'!Q59="","",'Kohad_3-16'!Q59)</f>
        <v>Tõnu Hansar</v>
      </c>
      <c r="C17" s="47">
        <f>IF(IF(OR(B17="",B17="bye bye"),"",VLOOKUP(B17,Paigutus!$D$3:$H$34,4,FALSE))=0,"",IF(OR(B17="",B17="bye bye"),"",VLOOKUP(B17,Paigutus!$D$3:$H$34,4,FALSE)))</f>
      </c>
      <c r="D17" s="47">
        <f>IF(IF(OR(B17="",B17="bye bye"),"",VLOOKUP(B17,Paigutus!$D$3:$H$34,5,FALSE))=0,"",IF(OR(B17="",B17="bye bye"),"",VLOOKUP(B17,Paigutus!$D$3:$H$34,5,FALSE)))</f>
      </c>
    </row>
    <row r="18" spans="1:4" ht="15">
      <c r="A18" s="25">
        <v>17</v>
      </c>
      <c r="B18" s="25" t="str">
        <f>IF('Kohad_17-32'!K9="","",'Kohad_17-32'!K9)</f>
        <v>Reino Ristissaar</v>
      </c>
      <c r="C18" s="47">
        <f>IF(IF(OR(B18="",B18="bye bye"),"",VLOOKUP(B18,Paigutus!$D$3:$H$34,4,FALSE))=0,"",IF(OR(B18="",B18="bye bye"),"",VLOOKUP(B18,Paigutus!$D$3:$H$34,4,FALSE)))</f>
      </c>
      <c r="D18" s="47">
        <f>IF(IF(OR(B18="",B18="bye bye"),"",VLOOKUP(B18,Paigutus!$D$3:$H$34,5,FALSE))=0,"",IF(OR(B18="",B18="bye bye"),"",VLOOKUP(B18,Paigutus!$D$3:$H$34,5,FALSE)))</f>
      </c>
    </row>
    <row r="19" spans="1:4" ht="15">
      <c r="A19" s="25">
        <v>18</v>
      </c>
      <c r="B19" s="25" t="str">
        <f>IF('Kohad_17-32'!K16="","",'Kohad_17-32'!K16)</f>
        <v>Kalle Kuuspalu</v>
      </c>
      <c r="C19" s="47">
        <f>IF(IF(OR(B19="",B19="bye bye"),"",VLOOKUP(B19,Paigutus!$D$3:$H$34,4,FALSE))=0,"",IF(OR(B19="",B19="bye bye"),"",VLOOKUP(B19,Paigutus!$D$3:$H$34,4,FALSE)))</f>
      </c>
      <c r="D19" s="47">
        <f>IF(IF(OR(B19="",B19="bye bye"),"",VLOOKUP(B19,Paigutus!$D$3:$H$34,5,FALSE))=0,"",IF(OR(B19="",B19="bye bye"),"",VLOOKUP(B19,Paigutus!$D$3:$H$34,5,FALSE)))</f>
      </c>
    </row>
    <row r="20" spans="1:4" ht="15">
      <c r="A20" s="25">
        <v>19</v>
      </c>
      <c r="B20" s="25" t="str">
        <f>IF('Kohad_17-32'!Q19="","",'Kohad_17-32'!Q19)</f>
        <v>Raigo Rommot</v>
      </c>
      <c r="C20" s="47">
        <f>IF(IF(OR(B20="",B20="bye bye"),"",VLOOKUP(B20,Paigutus!$D$3:$H$34,4,FALSE))=0,"",IF(OR(B20="",B20="bye bye"),"",VLOOKUP(B20,Paigutus!$D$3:$H$34,4,FALSE)))</f>
      </c>
      <c r="D20" s="47">
        <f>IF(IF(OR(B20="",B20="bye bye"),"",VLOOKUP(B20,Paigutus!$D$3:$H$34,5,FALSE))=0,"",IF(OR(B20="",B20="bye bye"),"",VLOOKUP(B20,Paigutus!$D$3:$H$34,5,FALSE)))</f>
      </c>
    </row>
    <row r="21" spans="1:4" ht="15">
      <c r="A21" s="25">
        <v>20</v>
      </c>
      <c r="B21" s="25" t="str">
        <f>IF('Kohad_17-32'!Q22="","",'Kohad_17-32'!Q22)</f>
        <v>Arvi Merigan</v>
      </c>
      <c r="C21" s="47">
        <f>IF(IF(OR(B21="",B21="bye bye"),"",VLOOKUP(B21,Paigutus!$D$3:$H$34,4,FALSE))=0,"",IF(OR(B21="",B21="bye bye"),"",VLOOKUP(B21,Paigutus!$D$3:$H$34,4,FALSE)))</f>
      </c>
      <c r="D21" s="47">
        <f>IF(IF(OR(B21="",B21="bye bye"),"",VLOOKUP(B21,Paigutus!$D$3:$H$34,5,FALSE))=0,"",IF(OR(B21="",B21="bye bye"),"",VLOOKUP(B21,Paigutus!$D$3:$H$34,5,FALSE)))</f>
      </c>
    </row>
    <row r="22" spans="1:4" ht="15">
      <c r="A22" s="25">
        <v>21</v>
      </c>
      <c r="B22" s="25" t="str">
        <f>IF('Kohad_17-32'!H23="","",'Kohad_17-32'!H23)</f>
        <v>Alex Rahuoja</v>
      </c>
      <c r="C22" s="47">
        <f>IF(IF(OR(B22="",B22="bye bye"),"",VLOOKUP(B22,Paigutus!$D$3:$H$34,4,FALSE))=0,"",IF(OR(B22="",B22="bye bye"),"",VLOOKUP(B22,Paigutus!$D$3:$H$34,4,FALSE)))</f>
      </c>
      <c r="D22" s="47">
        <f>IF(IF(OR(B22="",B22="bye bye"),"",VLOOKUP(B22,Paigutus!$D$3:$H$34,5,FALSE))=0,"",IF(OR(B22="",B22="bye bye"),"",VLOOKUP(B22,Paigutus!$D$3:$H$34,5,FALSE)))</f>
      </c>
    </row>
    <row r="23" spans="1:4" ht="15">
      <c r="A23" s="25">
        <v>22</v>
      </c>
      <c r="B23" s="25" t="str">
        <f>IF('Kohad_17-32'!H27="","",'Kohad_17-32'!H27)</f>
        <v>Taavi Miku</v>
      </c>
      <c r="C23" s="47">
        <f>IF(IF(OR(B23="",B23="bye bye"),"",VLOOKUP(B23,Paigutus!$D$3:$H$34,4,FALSE))=0,"",IF(OR(B23="",B23="bye bye"),"",VLOOKUP(B23,Paigutus!$D$3:$H$34,4,FALSE)))</f>
      </c>
      <c r="D23" s="47">
        <f>IF(IF(OR(B23="",B23="bye bye"),"",VLOOKUP(B23,Paigutus!$D$3:$H$34,5,FALSE))=0,"",IF(OR(B23="",B23="bye bye"),"",VLOOKUP(B23,Paigutus!$D$3:$H$34,5,FALSE)))</f>
      </c>
    </row>
    <row r="24" spans="1:4" ht="15">
      <c r="A24" s="25">
        <v>23</v>
      </c>
      <c r="B24" s="25" t="str">
        <f>IF('Kohad_17-32'!Q30="","",'Kohad_17-32'!Q30)</f>
        <v>Hannes Lepik</v>
      </c>
      <c r="C24" s="47">
        <f>IF(IF(OR(B24="",B24="bye bye"),"",VLOOKUP(B24,Paigutus!$D$3:$H$34,4,FALSE))=0,"",IF(OR(B24="",B24="bye bye"),"",VLOOKUP(B24,Paigutus!$D$3:$H$34,4,FALSE)))</f>
      </c>
      <c r="D24" s="47">
        <f>IF(IF(OR(B24="",B24="bye bye"),"",VLOOKUP(B24,Paigutus!$D$3:$H$34,5,FALSE))=0,"",IF(OR(B24="",B24="bye bye"),"",VLOOKUP(B24,Paigutus!$D$3:$H$34,5,FALSE)))</f>
      </c>
    </row>
    <row r="25" spans="1:4" ht="15">
      <c r="A25" s="25">
        <v>24</v>
      </c>
      <c r="B25" s="25" t="str">
        <f>IF('Kohad_17-32'!Q33="","",'Kohad_17-32'!Q33)</f>
        <v>Raivo Roots</v>
      </c>
      <c r="C25" s="47">
        <f>IF(IF(OR(B25="",B25="bye bye"),"",VLOOKUP(B25,Paigutus!$D$3:$H$34,4,FALSE))=0,"",IF(OR(B25="",B25="bye bye"),"",VLOOKUP(B25,Paigutus!$D$3:$H$34,4,FALSE)))</f>
      </c>
      <c r="D25" s="47">
        <f>IF(IF(OR(B25="",B25="bye bye"),"",VLOOKUP(B25,Paigutus!$D$3:$H$34,5,FALSE))=0,"",IF(OR(B25="",B25="bye bye"),"",VLOOKUP(B25,Paigutus!$D$3:$H$34,5,FALSE)))</f>
      </c>
    </row>
    <row r="26" spans="1:4" ht="15">
      <c r="A26" s="25">
        <v>25</v>
      </c>
      <c r="B26" s="25" t="str">
        <f>IF('Kohad_17-32'!K37="","",'Kohad_17-32'!K37)</f>
        <v>Joosep Hansar</v>
      </c>
      <c r="C26" s="47">
        <f>IF(IF(OR(B26="",B26="bye bye"),"",VLOOKUP(B26,Paigutus!$D$3:$H$34,4,FALSE))=0,"",IF(OR(B26="",B26="bye bye"),"",VLOOKUP(B26,Paigutus!$D$3:$H$34,4,FALSE)))</f>
      </c>
      <c r="D26" s="47">
        <f>IF(IF(OR(B26="",B26="bye bye"),"",VLOOKUP(B26,Paigutus!$D$3:$H$34,5,FALSE))=0,"",IF(OR(B26="",B26="bye bye"),"",VLOOKUP(B26,Paigutus!$D$3:$H$34,5,FALSE)))</f>
      </c>
    </row>
    <row r="27" spans="1:4" ht="15">
      <c r="A27" s="25">
        <v>26</v>
      </c>
      <c r="B27" s="25" t="str">
        <f>IF('Kohad_17-32'!K44="","",'Kohad_17-32'!K44)</f>
        <v>Heiki Hansar</v>
      </c>
      <c r="C27" s="47">
        <f>IF(IF(OR(B27="",B27="bye bye"),"",VLOOKUP(B27,Paigutus!$D$3:$H$34,4,FALSE))=0,"",IF(OR(B27="",B27="bye bye"),"",VLOOKUP(B27,Paigutus!$D$3:$H$34,4,FALSE)))</f>
      </c>
      <c r="D27" s="47">
        <f>IF(IF(OR(B27="",B27="bye bye"),"",VLOOKUP(B27,Paigutus!$D$3:$H$34,5,FALSE))=0,"",IF(OR(B27="",B27="bye bye"),"",VLOOKUP(B27,Paigutus!$D$3:$H$34,5,FALSE)))</f>
      </c>
    </row>
    <row r="28" spans="1:4" ht="15">
      <c r="A28" s="25">
        <v>27</v>
      </c>
      <c r="B28" s="25" t="str">
        <f>IF('Kohad_17-32'!Q47="","",'Kohad_17-32'!Q47)</f>
        <v>Aivar Soo</v>
      </c>
      <c r="C28" s="47">
        <f>IF(IF(OR(B28="",B28="bye bye"),"",VLOOKUP(B28,Paigutus!$D$3:$H$34,4,FALSE))=0,"",IF(OR(B28="",B28="bye bye"),"",VLOOKUP(B28,Paigutus!$D$3:$H$34,4,FALSE)))</f>
      </c>
      <c r="D28" s="47">
        <f>IF(IF(OR(B28="",B28="bye bye"),"",VLOOKUP(B28,Paigutus!$D$3:$H$34,5,FALSE))=0,"",IF(OR(B28="",B28="bye bye"),"",VLOOKUP(B28,Paigutus!$D$3:$H$34,5,FALSE)))</f>
      </c>
    </row>
    <row r="29" spans="1:4" ht="15">
      <c r="A29" s="25">
        <v>28</v>
      </c>
      <c r="B29" s="25" t="str">
        <f>IF('Kohad_17-32'!Q50="","",'Kohad_17-32'!Q50)</f>
        <v>Anatoli Zapunov</v>
      </c>
      <c r="C29" s="47">
        <f>IF(IF(OR(B29="",B29="bye bye"),"",VLOOKUP(B29,Paigutus!$D$3:$H$34,4,FALSE))=0,"",IF(OR(B29="",B29="bye bye"),"",VLOOKUP(B29,Paigutus!$D$3:$H$34,4,FALSE)))</f>
      </c>
      <c r="D29" s="47">
        <f>IF(IF(OR(B29="",B29="bye bye"),"",VLOOKUP(B29,Paigutus!$D$3:$H$34,5,FALSE))=0,"",IF(OR(B29="",B29="bye bye"),"",VLOOKUP(B29,Paigutus!$D$3:$H$34,5,FALSE)))</f>
      </c>
    </row>
    <row r="30" spans="1:4" ht="15">
      <c r="A30" s="25">
        <v>29</v>
      </c>
      <c r="B30" s="25" t="str">
        <f>IF('Kohad_17-32'!H51="","",'Kohad_17-32'!H51)</f>
        <v>Taivo Koitla</v>
      </c>
      <c r="C30" s="47">
        <f>IF(IF(OR(B30="",B30="bye bye"),"",VLOOKUP(B30,Paigutus!$D$3:$H$34,4,FALSE))=0,"",IF(OR(B30="",B30="bye bye"),"",VLOOKUP(B30,Paigutus!$D$3:$H$34,4,FALSE)))</f>
      </c>
      <c r="D30" s="47">
        <f>IF(IF(OR(B30="",B30="bye bye"),"",VLOOKUP(B30,Paigutus!$D$3:$H$34,5,FALSE))=0,"",IF(OR(B30="",B30="bye bye"),"",VLOOKUP(B30,Paigutus!$D$3:$H$34,5,FALSE)))</f>
      </c>
    </row>
    <row r="31" spans="1:4" ht="15">
      <c r="A31" s="25">
        <v>30</v>
      </c>
      <c r="B31" s="25" t="str">
        <f>IF('Kohad_17-32'!H55="","",'Kohad_17-32'!H55)</f>
        <v>Jako Lill</v>
      </c>
      <c r="C31" s="47">
        <f>IF(IF(OR(B31="",B31="bye bye"),"",VLOOKUP(B31,Paigutus!$D$3:$H$34,4,FALSE))=0,"",IF(OR(B31="",B31="bye bye"),"",VLOOKUP(B31,Paigutus!$D$3:$H$34,4,FALSE)))</f>
      </c>
      <c r="D31" s="47">
        <f>IF(IF(OR(B31="",B31="bye bye"),"",VLOOKUP(B31,Paigutus!$D$3:$H$34,5,FALSE))=0,"",IF(OR(B31="",B31="bye bye"),"",VLOOKUP(B31,Paigutus!$D$3:$H$34,5,FALSE)))</f>
      </c>
    </row>
    <row r="32" spans="1:4" ht="15">
      <c r="A32" s="25">
        <v>31</v>
      </c>
      <c r="B32" s="25" t="str">
        <f>IF('Kohad_17-32'!Q58="","",'Kohad_17-32'!Q58)</f>
        <v>Bye Bye</v>
      </c>
      <c r="C32" s="47">
        <f>IF(IF(OR(B32="",B32="bye bye"),"",VLOOKUP(B32,Paigutus!$D$3:$H$34,4,FALSE))=0,"",IF(OR(B32="",B32="bye bye"),"",VLOOKUP(B32,Paigutus!$D$3:$H$34,4,FALSE)))</f>
      </c>
      <c r="D32" s="47">
        <f>IF(IF(OR(B32="",B32="bye bye"),"",VLOOKUP(B32,Paigutus!$D$3:$H$34,5,FALSE))=0,"",IF(OR(B32="",B32="bye bye"),"",VLOOKUP(B32,Paigutus!$D$3:$H$34,5,FALSE)))</f>
      </c>
    </row>
    <row r="33" spans="1:4" ht="15">
      <c r="A33" s="25">
        <v>32</v>
      </c>
      <c r="B33" s="25" t="str">
        <f>IF('Kohad_17-32'!Q61="","",'Kohad_17-32'!Q61)</f>
        <v>Bye Bye</v>
      </c>
      <c r="C33" s="47">
        <f>IF(IF(OR(B33="",B33="bye bye"),"",VLOOKUP(B33,Paigutus!$D$3:$H$34,4,FALSE))=0,"",IF(OR(B33="",B33="bye bye"),"",VLOOKUP(B33,Paigutus!$D$3:$H$34,4,FALSE)))</f>
      </c>
      <c r="D33" s="47">
        <f>IF(IF(OR(B33="",B33="bye bye"),"",VLOOKUP(B33,Paigutus!$D$3:$H$34,5,FALSE))=0,"",IF(OR(B33="",B33="bye bye"),"",VLOOKUP(B33,Paigutus!$D$3:$H$34,5,FALSE)))</f>
      </c>
    </row>
  </sheetData>
  <sheetProtection selectLockedCells="1" selectUnlockedCells="1"/>
  <autoFilter ref="C1:D33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208"/>
  <sheetViews>
    <sheetView zoomScalePageLayoutView="0" workbookViewId="0" topLeftCell="A1">
      <selection activeCell="W53" sqref="W53"/>
    </sheetView>
  </sheetViews>
  <sheetFormatPr defaultColWidth="9.140625" defaultRowHeight="12.75"/>
  <cols>
    <col min="1" max="1" width="4.140625" style="0" customWidth="1"/>
    <col min="2" max="18" width="5.7109375" style="0" customWidth="1"/>
    <col min="19" max="19" width="5.421875" style="0" customWidth="1"/>
    <col min="20" max="20" width="3.140625" style="0" customWidth="1"/>
  </cols>
  <sheetData>
    <row r="1" spans="1:20" ht="15">
      <c r="A1" s="62" t="s">
        <v>5</v>
      </c>
      <c r="B1" s="62"/>
      <c r="C1" s="62"/>
      <c r="D1" s="62"/>
      <c r="E1" s="62"/>
      <c r="F1" s="63"/>
      <c r="G1" s="63"/>
      <c r="H1" s="63"/>
      <c r="I1" s="63"/>
      <c r="J1" s="63"/>
      <c r="K1" s="63"/>
      <c r="L1" s="63"/>
      <c r="M1" s="63"/>
      <c r="N1" s="63"/>
      <c r="O1" s="64"/>
      <c r="P1" s="53" t="s">
        <v>6</v>
      </c>
      <c r="Q1" s="54"/>
      <c r="R1" s="54"/>
      <c r="S1" s="54"/>
      <c r="T1" s="55"/>
    </row>
    <row r="2" spans="1:20" ht="12.75">
      <c r="A2" s="65" t="s">
        <v>7</v>
      </c>
      <c r="B2" s="65"/>
      <c r="C2" s="65"/>
      <c r="D2" s="65"/>
      <c r="E2" s="65"/>
      <c r="F2" s="66"/>
      <c r="G2" s="66"/>
      <c r="H2" s="66"/>
      <c r="I2" s="66"/>
      <c r="J2" s="66"/>
      <c r="K2" s="66"/>
      <c r="L2" s="66"/>
      <c r="M2" s="66"/>
      <c r="N2" s="66"/>
      <c r="O2" s="67"/>
      <c r="P2" s="56" t="s">
        <v>8</v>
      </c>
      <c r="Q2" s="57"/>
      <c r="R2" s="57"/>
      <c r="S2" s="57"/>
      <c r="T2" s="58"/>
    </row>
    <row r="3" spans="1:20" ht="12.75">
      <c r="A3" s="4"/>
      <c r="B3" s="68"/>
      <c r="C3" s="68"/>
      <c r="D3" s="68"/>
      <c r="E3" s="5"/>
      <c r="F3" s="6"/>
      <c r="G3" s="5"/>
      <c r="H3" s="5"/>
      <c r="I3" s="5"/>
      <c r="J3" s="69"/>
      <c r="K3" s="69"/>
      <c r="L3" s="5"/>
      <c r="M3" s="5"/>
      <c r="N3" s="5"/>
      <c r="O3" s="5"/>
      <c r="P3" s="59"/>
      <c r="Q3" s="60"/>
      <c r="R3" s="60"/>
      <c r="S3" s="60"/>
      <c r="T3" s="61"/>
    </row>
    <row r="4" spans="1:20" ht="12.75">
      <c r="A4" s="7">
        <v>1</v>
      </c>
      <c r="B4" s="49" t="str">
        <f>VLOOKUP(A4,Paigutus!$A$3:$H$34,4,FALSE)</f>
        <v>Antti Luigemaa</v>
      </c>
      <c r="C4" s="49"/>
      <c r="D4" s="49"/>
      <c r="E4" s="3"/>
      <c r="F4" s="3"/>
      <c r="G4" s="3"/>
      <c r="H4" s="3"/>
      <c r="I4" s="3"/>
      <c r="J4" s="7" t="s">
        <v>102</v>
      </c>
      <c r="K4" s="34"/>
      <c r="L4" s="34"/>
      <c r="M4" s="34"/>
      <c r="N4" s="34"/>
      <c r="O4" s="3"/>
      <c r="P4" s="3"/>
      <c r="Q4" s="3"/>
      <c r="R4" s="3"/>
      <c r="S4" s="3"/>
      <c r="T4" s="3"/>
    </row>
    <row r="5" spans="1:20" ht="12.75">
      <c r="A5" s="3"/>
      <c r="B5" s="3"/>
      <c r="C5" s="3"/>
      <c r="D5" s="8">
        <v>101</v>
      </c>
      <c r="E5" s="48" t="str">
        <f>IF(Mängud!E2="","",Mängud!E2)</f>
        <v>Antti Luigemaa</v>
      </c>
      <c r="F5" s="48"/>
      <c r="G5" s="4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7">
        <v>32</v>
      </c>
      <c r="B6" s="49" t="str">
        <f>VLOOKUP(A6,Paigutus!$A$3:$H$34,4,FALSE)</f>
        <v>Bye Bye</v>
      </c>
      <c r="C6" s="49"/>
      <c r="D6" s="51"/>
      <c r="E6" s="9"/>
      <c r="F6" s="10" t="str">
        <f>IF(Mängud!F2="","",Mängud!F2)</f>
        <v>w.o.</v>
      </c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>
      <c r="A7" s="3"/>
      <c r="B7" s="3"/>
      <c r="C7" s="3"/>
      <c r="D7" s="3"/>
      <c r="E7" s="3"/>
      <c r="F7" s="3"/>
      <c r="G7" s="11">
        <v>117</v>
      </c>
      <c r="H7" s="48" t="str">
        <f>IF(Mängud!E18="","",Mängud!E18)</f>
        <v>Antti Luigemaa</v>
      </c>
      <c r="I7" s="48"/>
      <c r="J7" s="48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7">
        <v>17</v>
      </c>
      <c r="B8" s="49" t="str">
        <f>VLOOKUP(A8,Paigutus!$A$3:$H$34,4,FALSE)</f>
        <v>Raigo Rommot</v>
      </c>
      <c r="C8" s="49"/>
      <c r="D8" s="49"/>
      <c r="E8" s="3"/>
      <c r="F8" s="3"/>
      <c r="G8" s="11"/>
      <c r="H8" s="9"/>
      <c r="I8" s="10" t="str">
        <f>IF(Mängud!F18="","",Mängud!F18)</f>
        <v>3:1</v>
      </c>
      <c r="J8" s="8"/>
      <c r="K8" s="3"/>
      <c r="L8" s="3"/>
      <c r="M8" s="3"/>
      <c r="N8" s="3"/>
      <c r="O8" s="3" t="s">
        <v>104</v>
      </c>
      <c r="P8" s="3"/>
      <c r="Q8" s="3"/>
      <c r="R8" s="3"/>
      <c r="S8" s="3"/>
      <c r="T8" s="3"/>
    </row>
    <row r="9" spans="1:20" ht="12.75">
      <c r="A9" s="3"/>
      <c r="B9" s="3"/>
      <c r="C9" s="3"/>
      <c r="D9" s="8">
        <v>102</v>
      </c>
      <c r="E9" s="48" t="str">
        <f>IF(Mängud!E3="","",Mängud!E3)</f>
        <v>Raigo Rommot</v>
      </c>
      <c r="F9" s="48"/>
      <c r="G9" s="48"/>
      <c r="H9" s="12"/>
      <c r="I9" s="3"/>
      <c r="J9" s="11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>
      <c r="A10" s="7">
        <v>16</v>
      </c>
      <c r="B10" s="49" t="str">
        <f>VLOOKUP(A10,Paigutus!$A$3:$H$34,4,FALSE)</f>
        <v>Kalle Kuuspalu</v>
      </c>
      <c r="C10" s="49"/>
      <c r="D10" s="51"/>
      <c r="E10" s="9"/>
      <c r="F10" s="10" t="str">
        <f>IF(Mängud!F3="","",Mängud!F3)</f>
        <v>3:1</v>
      </c>
      <c r="G10" s="3"/>
      <c r="H10" s="3"/>
      <c r="I10" s="3"/>
      <c r="J10" s="11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>
      <c r="A11" s="3"/>
      <c r="B11" s="3"/>
      <c r="C11" s="3"/>
      <c r="D11" s="3"/>
      <c r="E11" s="3"/>
      <c r="F11" s="3"/>
      <c r="G11" s="3"/>
      <c r="H11" s="3"/>
      <c r="I11" s="3"/>
      <c r="J11" s="11">
        <v>141</v>
      </c>
      <c r="K11" s="48" t="str">
        <f>IF(Mängud!E42="","",Mängud!E42)</f>
        <v>Antti Luigemaa</v>
      </c>
      <c r="L11" s="48"/>
      <c r="M11" s="48"/>
      <c r="N11" s="3"/>
      <c r="O11" s="3"/>
      <c r="P11" s="3"/>
      <c r="Q11" s="3"/>
      <c r="R11" s="3"/>
      <c r="S11" s="3"/>
      <c r="T11" s="3"/>
    </row>
    <row r="12" spans="1:20" ht="12.75">
      <c r="A12" s="7">
        <v>9</v>
      </c>
      <c r="B12" s="49" t="str">
        <f>VLOOKUP(A12,Paigutus!$A$3:$H$34,4,FALSE)</f>
        <v>Eduard Virkunen</v>
      </c>
      <c r="C12" s="49"/>
      <c r="D12" s="49"/>
      <c r="E12" s="3"/>
      <c r="F12" s="3"/>
      <c r="G12" s="3"/>
      <c r="H12" s="3"/>
      <c r="I12" s="3"/>
      <c r="J12" s="11"/>
      <c r="K12" s="9"/>
      <c r="L12" s="10" t="str">
        <f>IF(Mängud!F42="","",Mängud!F42)</f>
        <v>3:1</v>
      </c>
      <c r="M12" s="8"/>
      <c r="N12" s="3"/>
      <c r="O12" s="3"/>
      <c r="P12" s="3"/>
      <c r="Q12" s="3"/>
      <c r="R12" s="3"/>
      <c r="S12" s="3"/>
      <c r="T12" s="3"/>
    </row>
    <row r="13" spans="1:20" ht="12.75">
      <c r="A13" s="3"/>
      <c r="B13" s="3"/>
      <c r="C13" s="3"/>
      <c r="D13" s="8">
        <v>103</v>
      </c>
      <c r="E13" s="48" t="str">
        <f>IF(Mängud!E4="","",Mängud!E4)</f>
        <v>Eduard Virkunen</v>
      </c>
      <c r="F13" s="48"/>
      <c r="G13" s="48"/>
      <c r="H13" s="3"/>
      <c r="I13" s="3"/>
      <c r="J13" s="11"/>
      <c r="K13" s="3"/>
      <c r="L13" s="3"/>
      <c r="M13" s="11"/>
      <c r="N13" s="3"/>
      <c r="O13" s="3"/>
      <c r="P13" s="3"/>
      <c r="Q13" s="3"/>
      <c r="R13" s="3"/>
      <c r="S13" s="3"/>
      <c r="T13" s="3"/>
    </row>
    <row r="14" spans="1:20" ht="12.75">
      <c r="A14" s="7">
        <v>24</v>
      </c>
      <c r="B14" s="49" t="str">
        <f>VLOOKUP(A14,Paigutus!$A$3:$H$34,4,FALSE)</f>
        <v>Raivo Roots</v>
      </c>
      <c r="C14" s="49"/>
      <c r="D14" s="51"/>
      <c r="E14" s="9"/>
      <c r="F14" s="10" t="str">
        <f>IF(Mängud!F4="","",Mängud!F4)</f>
        <v>3:0</v>
      </c>
      <c r="G14" s="8"/>
      <c r="H14" s="3"/>
      <c r="I14" s="3"/>
      <c r="J14" s="11"/>
      <c r="K14" s="3"/>
      <c r="L14" s="3"/>
      <c r="M14" s="11"/>
      <c r="N14" s="3"/>
      <c r="O14" s="3"/>
      <c r="P14" s="3"/>
      <c r="Q14" s="3"/>
      <c r="R14" s="3"/>
      <c r="S14" s="3"/>
      <c r="T14" s="3"/>
    </row>
    <row r="15" spans="1:20" ht="12.75">
      <c r="A15" s="3"/>
      <c r="B15" s="3"/>
      <c r="C15" s="3"/>
      <c r="D15" s="3"/>
      <c r="E15" s="3"/>
      <c r="F15" s="3"/>
      <c r="G15" s="11">
        <v>118</v>
      </c>
      <c r="H15" s="50" t="str">
        <f>IF(Mängud!E19="","",Mängud!E19)</f>
        <v>Veiko Ristissaar</v>
      </c>
      <c r="I15" s="50"/>
      <c r="J15" s="50"/>
      <c r="K15" s="3"/>
      <c r="L15" s="3"/>
      <c r="M15" s="11"/>
      <c r="N15" s="3"/>
      <c r="O15" s="3"/>
      <c r="P15" s="3"/>
      <c r="Q15" s="3"/>
      <c r="R15" s="3"/>
      <c r="S15" s="3"/>
      <c r="T15" s="3"/>
    </row>
    <row r="16" spans="1:20" ht="12.75">
      <c r="A16" s="7">
        <v>25</v>
      </c>
      <c r="B16" s="49" t="str">
        <f>VLOOKUP(A16,Paigutus!$A$3:$H$34,4,FALSE)</f>
        <v>Joosep Hansar</v>
      </c>
      <c r="C16" s="49"/>
      <c r="D16" s="49"/>
      <c r="E16" s="3"/>
      <c r="F16" s="3"/>
      <c r="G16" s="11"/>
      <c r="H16" s="9"/>
      <c r="I16" s="10" t="str">
        <f>IF(Mängud!F19="","",Mängud!F19)</f>
        <v>3:2</v>
      </c>
      <c r="J16" s="13"/>
      <c r="K16" s="14"/>
      <c r="L16" s="3"/>
      <c r="M16" s="11"/>
      <c r="N16" s="3"/>
      <c r="O16" s="3"/>
      <c r="P16" s="3"/>
      <c r="Q16" s="3"/>
      <c r="R16" s="3"/>
      <c r="S16" s="3"/>
      <c r="T16" s="3"/>
    </row>
    <row r="17" spans="1:20" ht="12.75">
      <c r="A17" s="3"/>
      <c r="B17" s="3"/>
      <c r="C17" s="3"/>
      <c r="D17" s="8">
        <v>104</v>
      </c>
      <c r="E17" s="50" t="str">
        <f>IF(Mängud!E5="","",Mängud!E5)</f>
        <v>Veiko Ristissaar</v>
      </c>
      <c r="F17" s="50"/>
      <c r="G17" s="50"/>
      <c r="H17" s="3"/>
      <c r="I17" s="3"/>
      <c r="J17" s="3"/>
      <c r="K17" s="3"/>
      <c r="L17" s="3"/>
      <c r="M17" s="11"/>
      <c r="N17" s="3"/>
      <c r="O17" s="3"/>
      <c r="P17" s="3"/>
      <c r="Q17" s="3"/>
      <c r="R17" s="3"/>
      <c r="S17" s="3"/>
      <c r="T17" s="3"/>
    </row>
    <row r="18" spans="1:20" ht="12.75">
      <c r="A18" s="7">
        <v>8</v>
      </c>
      <c r="B18" s="49" t="str">
        <f>VLOOKUP(A18,Paigutus!$A$3:$H$34,4,FALSE)</f>
        <v>Veiko Ristissaar</v>
      </c>
      <c r="C18" s="49"/>
      <c r="D18" s="51"/>
      <c r="E18" s="9"/>
      <c r="F18" s="10" t="str">
        <f>IF(Mängud!F5="","",Mängud!F5)</f>
        <v>3:0</v>
      </c>
      <c r="G18" s="13"/>
      <c r="H18" s="14"/>
      <c r="I18" s="3"/>
      <c r="J18" s="3"/>
      <c r="K18" s="3"/>
      <c r="L18" s="3"/>
      <c r="M18" s="11"/>
      <c r="N18" s="3"/>
      <c r="O18" s="3"/>
      <c r="P18" s="3"/>
      <c r="Q18" s="3"/>
      <c r="R18" s="3"/>
      <c r="S18" s="3"/>
      <c r="T18" s="3"/>
    </row>
    <row r="19" spans="1:20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1">
        <v>157</v>
      </c>
      <c r="N19" s="48" t="str">
        <f>IF(Mängud!E58="","",Mängud!E58)</f>
        <v>Antti Luigemaa</v>
      </c>
      <c r="O19" s="48"/>
      <c r="P19" s="48"/>
      <c r="Q19" s="3"/>
      <c r="R19" s="3"/>
      <c r="S19" s="3"/>
      <c r="T19" s="3"/>
    </row>
    <row r="20" spans="1:20" ht="12.75">
      <c r="A20" s="7">
        <v>5</v>
      </c>
      <c r="B20" s="49" t="str">
        <f>VLOOKUP(A20,Paigutus!$A$3:$H$34,4,FALSE)</f>
        <v>Vladyslav Rybachok</v>
      </c>
      <c r="C20" s="49"/>
      <c r="D20" s="49"/>
      <c r="E20" s="3"/>
      <c r="F20" s="3"/>
      <c r="G20" s="3"/>
      <c r="H20" s="3"/>
      <c r="I20" s="3"/>
      <c r="J20" s="3"/>
      <c r="K20" s="3"/>
      <c r="L20" s="3"/>
      <c r="M20" s="11"/>
      <c r="N20" s="9"/>
      <c r="O20" s="10" t="str">
        <f>IF(Mängud!F58="","",Mängud!F58)</f>
        <v>3:0</v>
      </c>
      <c r="P20" s="8"/>
      <c r="Q20" s="3"/>
      <c r="R20" s="3"/>
      <c r="S20" s="3"/>
      <c r="T20" s="3"/>
    </row>
    <row r="21" spans="1:20" ht="12.75">
      <c r="A21" s="3"/>
      <c r="B21" s="3"/>
      <c r="C21" s="3"/>
      <c r="D21" s="8">
        <v>105</v>
      </c>
      <c r="E21" s="48" t="str">
        <f>IF(Mängud!E6="","",Mängud!E6)</f>
        <v>Vladyslav Rybachok</v>
      </c>
      <c r="F21" s="48"/>
      <c r="G21" s="48"/>
      <c r="H21" s="3"/>
      <c r="I21" s="3"/>
      <c r="J21" s="3"/>
      <c r="K21" s="3"/>
      <c r="L21" s="3"/>
      <c r="M21" s="11"/>
      <c r="N21" s="3"/>
      <c r="O21" s="3"/>
      <c r="P21" s="11"/>
      <c r="Q21" s="3"/>
      <c r="R21" s="3"/>
      <c r="S21" s="3"/>
      <c r="T21" s="3"/>
    </row>
    <row r="22" spans="1:20" ht="12.75">
      <c r="A22" s="7">
        <v>28</v>
      </c>
      <c r="B22" s="49" t="str">
        <f>VLOOKUP(A22,Paigutus!$A$3:$H$34,4,FALSE)</f>
        <v>Aivar Soo</v>
      </c>
      <c r="C22" s="49"/>
      <c r="D22" s="51"/>
      <c r="E22" s="9"/>
      <c r="F22" s="10" t="str">
        <f>IF(Mängud!F6="","",Mängud!F6)</f>
        <v>3:0</v>
      </c>
      <c r="G22" s="8"/>
      <c r="H22" s="3"/>
      <c r="I22" s="3"/>
      <c r="J22" s="3"/>
      <c r="K22" s="3"/>
      <c r="L22" s="3"/>
      <c r="M22" s="11"/>
      <c r="N22" s="3"/>
      <c r="O22" s="3"/>
      <c r="P22" s="11"/>
      <c r="Q22" s="3"/>
      <c r="R22" s="3"/>
      <c r="S22" s="3"/>
      <c r="T22" s="3"/>
    </row>
    <row r="23" spans="1:20" ht="12.75">
      <c r="A23" s="3"/>
      <c r="B23" s="3"/>
      <c r="C23" s="3"/>
      <c r="D23" s="3"/>
      <c r="E23" s="3"/>
      <c r="F23" s="3"/>
      <c r="G23" s="11">
        <v>119</v>
      </c>
      <c r="H23" s="48" t="str">
        <f>IF(Mängud!E20="","",Mängud!E20)</f>
        <v>Vladyslav Rybachok</v>
      </c>
      <c r="I23" s="48"/>
      <c r="J23" s="48"/>
      <c r="K23" s="3"/>
      <c r="L23" s="3"/>
      <c r="M23" s="11"/>
      <c r="N23" s="3"/>
      <c r="O23" s="3"/>
      <c r="P23" s="11"/>
      <c r="Q23" s="3"/>
      <c r="R23" s="3"/>
      <c r="S23" s="3"/>
      <c r="T23" s="3"/>
    </row>
    <row r="24" spans="1:20" ht="12.75">
      <c r="A24" s="7">
        <v>21</v>
      </c>
      <c r="B24" s="49" t="str">
        <f>VLOOKUP(A24,Paigutus!$A$3:$H$34,4,FALSE)</f>
        <v>Arvi Merigan</v>
      </c>
      <c r="C24" s="49"/>
      <c r="D24" s="49"/>
      <c r="E24" s="3"/>
      <c r="F24" s="3"/>
      <c r="G24" s="11"/>
      <c r="H24" s="9"/>
      <c r="I24" s="10" t="str">
        <f>IF(Mängud!F20="","",Mängud!F20)</f>
        <v>3:1</v>
      </c>
      <c r="J24" s="8"/>
      <c r="K24" s="3"/>
      <c r="L24" s="3"/>
      <c r="M24" s="11"/>
      <c r="N24" s="3"/>
      <c r="O24" s="3"/>
      <c r="P24" s="11"/>
      <c r="Q24" s="3"/>
      <c r="R24" s="3"/>
      <c r="S24" s="3"/>
      <c r="T24" s="3"/>
    </row>
    <row r="25" spans="1:20" ht="12.75">
      <c r="A25" s="3"/>
      <c r="B25" s="3"/>
      <c r="C25" s="3"/>
      <c r="D25" s="8">
        <v>106</v>
      </c>
      <c r="E25" s="48" t="str">
        <f>IF(Mängud!E7="","",Mängud!E7)</f>
        <v>Reino Ristissaar</v>
      </c>
      <c r="F25" s="48"/>
      <c r="G25" s="48"/>
      <c r="H25" s="12"/>
      <c r="I25" s="3"/>
      <c r="J25" s="11"/>
      <c r="K25" s="3"/>
      <c r="L25" s="3"/>
      <c r="M25" s="11"/>
      <c r="N25" s="3"/>
      <c r="O25" s="3"/>
      <c r="P25" s="11"/>
      <c r="Q25" s="3"/>
      <c r="R25" s="3"/>
      <c r="S25" s="3"/>
      <c r="T25" s="3"/>
    </row>
    <row r="26" spans="1:20" ht="12.75">
      <c r="A26" s="7">
        <v>12</v>
      </c>
      <c r="B26" s="49" t="str">
        <f>VLOOKUP(A26,Paigutus!$A$3:$H$34,4,FALSE)</f>
        <v>Reino Ristissaar</v>
      </c>
      <c r="C26" s="49"/>
      <c r="D26" s="51"/>
      <c r="E26" s="9"/>
      <c r="F26" s="10" t="str">
        <f>IF(Mängud!F7="","",Mängud!F7)</f>
        <v>3:0</v>
      </c>
      <c r="G26" s="13"/>
      <c r="H26" s="14"/>
      <c r="I26" s="3"/>
      <c r="J26" s="11"/>
      <c r="K26" s="3"/>
      <c r="L26" s="3"/>
      <c r="M26" s="11"/>
      <c r="N26" s="3"/>
      <c r="O26" s="3"/>
      <c r="P26" s="11"/>
      <c r="Q26" s="3"/>
      <c r="R26" s="3"/>
      <c r="S26" s="3"/>
      <c r="T26" s="3"/>
    </row>
    <row r="27" spans="1:20" ht="12.75">
      <c r="A27" s="3"/>
      <c r="B27" s="3"/>
      <c r="C27" s="3"/>
      <c r="D27" s="3"/>
      <c r="E27" s="3"/>
      <c r="F27" s="3"/>
      <c r="G27" s="3"/>
      <c r="H27" s="3"/>
      <c r="I27" s="3"/>
      <c r="J27" s="11">
        <v>142</v>
      </c>
      <c r="K27" s="48" t="str">
        <f>IF(Mängud!E43="","",Mängud!E43)</f>
        <v>Urmas Sinisalu</v>
      </c>
      <c r="L27" s="48"/>
      <c r="M27" s="48"/>
      <c r="N27" s="12"/>
      <c r="O27" s="3"/>
      <c r="P27" s="11"/>
      <c r="Q27" s="3"/>
      <c r="R27" s="3"/>
      <c r="S27" s="3"/>
      <c r="T27" s="3"/>
    </row>
    <row r="28" spans="1:20" ht="12.75">
      <c r="A28" s="7">
        <v>13</v>
      </c>
      <c r="B28" s="49" t="str">
        <f>VLOOKUP(A28,Paigutus!$A$3:$H$34,4,FALSE)</f>
        <v>Jimmy Lindborg</v>
      </c>
      <c r="C28" s="49"/>
      <c r="D28" s="49"/>
      <c r="E28" s="3"/>
      <c r="F28" s="3"/>
      <c r="G28" s="3"/>
      <c r="H28" s="3"/>
      <c r="I28" s="3"/>
      <c r="J28" s="11"/>
      <c r="K28" s="9"/>
      <c r="L28" s="10" t="str">
        <f>IF(Mängud!F43="","",Mängud!F43)</f>
        <v>3:0</v>
      </c>
      <c r="M28" s="13"/>
      <c r="N28" s="14"/>
      <c r="O28" s="3"/>
      <c r="P28" s="11"/>
      <c r="Q28" s="3"/>
      <c r="R28" s="3"/>
      <c r="S28" s="3"/>
      <c r="T28" s="3"/>
    </row>
    <row r="29" spans="1:20" ht="12.75">
      <c r="A29" s="3"/>
      <c r="B29" s="3"/>
      <c r="C29" s="3"/>
      <c r="D29" s="8">
        <v>107</v>
      </c>
      <c r="E29" s="48" t="str">
        <f>IF(Mängud!E8="","",Mängud!E8)</f>
        <v>Jimmy Lindborg</v>
      </c>
      <c r="F29" s="48"/>
      <c r="G29" s="48"/>
      <c r="H29" s="3"/>
      <c r="I29" s="3"/>
      <c r="J29" s="11"/>
      <c r="K29" s="3"/>
      <c r="L29" s="3"/>
      <c r="M29" s="3"/>
      <c r="N29" s="3"/>
      <c r="O29" s="3"/>
      <c r="P29" s="11"/>
      <c r="Q29" s="3"/>
      <c r="R29" s="3"/>
      <c r="S29" s="3"/>
      <c r="T29" s="3"/>
    </row>
    <row r="30" spans="1:20" ht="12.75">
      <c r="A30" s="7">
        <v>20</v>
      </c>
      <c r="B30" s="49" t="str">
        <f>VLOOKUP(A30,Paigutus!$A$3:$H$34,4,FALSE)</f>
        <v>Alex Rahuoja</v>
      </c>
      <c r="C30" s="49"/>
      <c r="D30" s="51"/>
      <c r="E30" s="9"/>
      <c r="F30" s="10" t="str">
        <f>IF(Mängud!F8="","",Mängud!F8)</f>
        <v>3:2</v>
      </c>
      <c r="G30" s="8"/>
      <c r="H30" s="3"/>
      <c r="I30" s="3"/>
      <c r="J30" s="11"/>
      <c r="K30" s="3"/>
      <c r="L30" s="3"/>
      <c r="M30" s="3"/>
      <c r="N30" s="3"/>
      <c r="O30" s="3"/>
      <c r="P30" s="11"/>
      <c r="Q30" s="3"/>
      <c r="R30" s="3"/>
      <c r="S30" s="3"/>
      <c r="T30" s="3"/>
    </row>
    <row r="31" spans="1:20" ht="12.75">
      <c r="A31" s="3"/>
      <c r="B31" s="3"/>
      <c r="C31" s="3"/>
      <c r="D31" s="3"/>
      <c r="E31" s="3"/>
      <c r="F31" s="3"/>
      <c r="G31" s="11">
        <v>120</v>
      </c>
      <c r="H31" s="50" t="str">
        <f>IF(Mängud!E21="","",Mängud!E21)</f>
        <v>Urmas Sinisalu</v>
      </c>
      <c r="I31" s="50"/>
      <c r="J31" s="50"/>
      <c r="K31" s="3"/>
      <c r="L31" s="3"/>
      <c r="M31" s="3"/>
      <c r="N31" s="3"/>
      <c r="O31" s="3"/>
      <c r="P31" s="11"/>
      <c r="Q31" s="3"/>
      <c r="R31" s="3"/>
      <c r="S31" s="3"/>
      <c r="T31" s="3"/>
    </row>
    <row r="32" spans="1:20" ht="12.75">
      <c r="A32" s="7">
        <v>29</v>
      </c>
      <c r="B32" s="49" t="str">
        <f>VLOOKUP(A32,Paigutus!$A$3:$H$34,4,FALSE)</f>
        <v>Taivo Koitla</v>
      </c>
      <c r="C32" s="49"/>
      <c r="D32" s="49"/>
      <c r="E32" s="3"/>
      <c r="F32" s="3"/>
      <c r="G32" s="11"/>
      <c r="H32" s="9"/>
      <c r="I32" s="10" t="str">
        <f>IF(Mängud!F21="","",Mängud!F21)</f>
        <v>3:0</v>
      </c>
      <c r="J32" s="13"/>
      <c r="K32" s="14"/>
      <c r="L32" s="3"/>
      <c r="M32" s="3"/>
      <c r="N32" s="3"/>
      <c r="O32" s="3"/>
      <c r="P32" s="11"/>
      <c r="Q32" s="3"/>
      <c r="R32" s="3"/>
      <c r="S32" s="3"/>
      <c r="T32" s="3"/>
    </row>
    <row r="33" spans="1:20" ht="12.75">
      <c r="A33" s="3"/>
      <c r="B33" s="3"/>
      <c r="C33" s="3"/>
      <c r="D33" s="8">
        <v>108</v>
      </c>
      <c r="E33" s="48" t="str">
        <f>IF(Mängud!E9="","",Mängud!E9)</f>
        <v>Urmas Sinisalu</v>
      </c>
      <c r="F33" s="48"/>
      <c r="G33" s="48"/>
      <c r="H33" s="12"/>
      <c r="I33" s="3"/>
      <c r="J33" s="3"/>
      <c r="K33" s="3"/>
      <c r="L33" s="3"/>
      <c r="M33" s="3"/>
      <c r="N33" s="3"/>
      <c r="O33" s="3"/>
      <c r="P33" s="11"/>
      <c r="Q33" s="3"/>
      <c r="R33" s="3"/>
      <c r="S33" s="3"/>
      <c r="T33" s="3"/>
    </row>
    <row r="34" spans="1:20" ht="12.75">
      <c r="A34" s="7">
        <v>4</v>
      </c>
      <c r="B34" s="49" t="str">
        <f>VLOOKUP(A34,Paigutus!$A$3:$H$34,4,FALSE)</f>
        <v>Urmas Sinisalu</v>
      </c>
      <c r="C34" s="49"/>
      <c r="D34" s="51"/>
      <c r="E34" s="9"/>
      <c r="F34" s="10" t="str">
        <f>IF(Mängud!F9="","",Mängud!F9)</f>
        <v>3:0</v>
      </c>
      <c r="G34" s="13"/>
      <c r="H34" s="14"/>
      <c r="I34" s="3"/>
      <c r="J34" s="3"/>
      <c r="K34" s="3"/>
      <c r="L34" s="3"/>
      <c r="M34" s="3"/>
      <c r="N34" s="3"/>
      <c r="O34" s="3"/>
      <c r="P34" s="11"/>
      <c r="Q34" s="3"/>
      <c r="R34" s="3"/>
      <c r="S34" s="3"/>
      <c r="T34" s="3"/>
    </row>
    <row r="35" spans="1:20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1">
        <v>177</v>
      </c>
      <c r="Q35" s="48" t="str">
        <f>IF(Mängud!E78="","",Mängud!E78)</f>
        <v>Antti Luigemaa</v>
      </c>
      <c r="R35" s="48"/>
      <c r="S35" s="48"/>
      <c r="T35" s="7" t="s">
        <v>9</v>
      </c>
    </row>
    <row r="36" spans="1:20" ht="12.75">
      <c r="A36" s="7">
        <v>3</v>
      </c>
      <c r="B36" s="49" t="str">
        <f>VLOOKUP(A36,Paigutus!$A$3:$H$34,4,FALSE)</f>
        <v>Andres Somer</v>
      </c>
      <c r="C36" s="49"/>
      <c r="D36" s="4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11"/>
      <c r="Q36" s="9"/>
      <c r="R36" s="15"/>
      <c r="S36" s="13"/>
      <c r="T36" s="14"/>
    </row>
    <row r="37" spans="1:20" ht="12.75">
      <c r="A37" s="3"/>
      <c r="B37" s="3"/>
      <c r="C37" s="3"/>
      <c r="D37" s="8">
        <v>109</v>
      </c>
      <c r="E37" s="48" t="str">
        <f>IF(Mängud!E10="","",Mängud!E10)</f>
        <v>Andres Somer</v>
      </c>
      <c r="F37" s="48"/>
      <c r="G37" s="48"/>
      <c r="H37" s="3"/>
      <c r="I37" s="3"/>
      <c r="J37" s="3"/>
      <c r="K37" s="3"/>
      <c r="L37" s="3"/>
      <c r="M37" s="3"/>
      <c r="N37" s="3"/>
      <c r="O37" s="3"/>
      <c r="P37" s="11"/>
      <c r="Q37" s="3"/>
      <c r="R37" s="3"/>
      <c r="S37" s="3"/>
      <c r="T37" s="14"/>
    </row>
    <row r="38" spans="1:20" ht="12.75">
      <c r="A38" s="7">
        <v>30</v>
      </c>
      <c r="B38" s="49" t="str">
        <f>VLOOKUP(A38,Paigutus!$A$3:$H$34,4,FALSE)</f>
        <v>Jako Lill</v>
      </c>
      <c r="C38" s="49"/>
      <c r="D38" s="51"/>
      <c r="E38" s="9"/>
      <c r="F38" s="10" t="str">
        <f>IF(Mängud!F10="","",Mängud!F10)</f>
        <v>3:0</v>
      </c>
      <c r="G38" s="8"/>
      <c r="H38" s="3"/>
      <c r="I38" s="3"/>
      <c r="J38" s="3"/>
      <c r="K38" s="3"/>
      <c r="L38" s="3"/>
      <c r="M38" s="3"/>
      <c r="N38" s="3"/>
      <c r="O38" s="3"/>
      <c r="P38" s="11"/>
      <c r="Q38" s="3"/>
      <c r="R38" s="3"/>
      <c r="S38" s="3"/>
      <c r="T38" s="3"/>
    </row>
    <row r="39" spans="1:20" ht="12.75">
      <c r="A39" s="3"/>
      <c r="B39" s="3"/>
      <c r="C39" s="3"/>
      <c r="D39" s="3"/>
      <c r="E39" s="3"/>
      <c r="F39" s="3"/>
      <c r="G39" s="11">
        <v>121</v>
      </c>
      <c r="H39" s="48" t="str">
        <f>IF(Mängud!E22="","",Mängud!E22)</f>
        <v>Andres Somer</v>
      </c>
      <c r="I39" s="48"/>
      <c r="J39" s="48"/>
      <c r="K39" s="3"/>
      <c r="L39" s="3"/>
      <c r="M39" s="3"/>
      <c r="N39" s="3"/>
      <c r="O39" s="3"/>
      <c r="P39" s="11"/>
      <c r="Q39" s="3"/>
      <c r="R39" s="3"/>
      <c r="S39" s="3"/>
      <c r="T39" s="3"/>
    </row>
    <row r="40" spans="1:20" ht="12.75">
      <c r="A40" s="7">
        <v>19</v>
      </c>
      <c r="B40" s="49" t="str">
        <f>VLOOKUP(A40,Paigutus!$A$3:$H$34,4,FALSE)</f>
        <v>Taavi Miku</v>
      </c>
      <c r="C40" s="49"/>
      <c r="D40" s="49"/>
      <c r="E40" s="3"/>
      <c r="F40" s="3"/>
      <c r="G40" s="11"/>
      <c r="H40" s="9"/>
      <c r="I40" s="10" t="str">
        <f>IF(Mängud!F22="","",Mängud!F22)</f>
        <v>3:0</v>
      </c>
      <c r="J40" s="8"/>
      <c r="K40" s="3"/>
      <c r="L40" s="3"/>
      <c r="M40" s="3"/>
      <c r="N40" s="3"/>
      <c r="O40" s="3"/>
      <c r="P40" s="11"/>
      <c r="Q40" s="3"/>
      <c r="R40" s="3"/>
      <c r="S40" s="3"/>
      <c r="T40" s="3"/>
    </row>
    <row r="41" spans="1:20" ht="12.75">
      <c r="A41" s="3"/>
      <c r="B41" s="3"/>
      <c r="C41" s="3"/>
      <c r="D41" s="8">
        <v>110</v>
      </c>
      <c r="E41" s="48" t="str">
        <f>IF(Mängud!E11="","",Mängud!E11)</f>
        <v>Ain Raid</v>
      </c>
      <c r="F41" s="48"/>
      <c r="G41" s="48"/>
      <c r="H41" s="12"/>
      <c r="I41" s="3"/>
      <c r="J41" s="11"/>
      <c r="K41" s="3"/>
      <c r="L41" s="3"/>
      <c r="M41" s="3"/>
      <c r="N41" s="3"/>
      <c r="O41" s="3"/>
      <c r="P41" s="11"/>
      <c r="Q41" s="3"/>
      <c r="R41" s="3"/>
      <c r="S41" s="3"/>
      <c r="T41" s="3"/>
    </row>
    <row r="42" spans="1:20" ht="12.75">
      <c r="A42" s="7">
        <v>14</v>
      </c>
      <c r="B42" s="49" t="str">
        <f>VLOOKUP(A42,Paigutus!$A$3:$H$34,4,FALSE)</f>
        <v>Ain Raid</v>
      </c>
      <c r="C42" s="49"/>
      <c r="D42" s="51"/>
      <c r="E42" s="9"/>
      <c r="F42" s="10" t="str">
        <f>IF(Mängud!F11="","",Mängud!F11)</f>
        <v>3:0</v>
      </c>
      <c r="G42" s="13"/>
      <c r="H42" s="14"/>
      <c r="I42" s="3"/>
      <c r="J42" s="11"/>
      <c r="K42" s="3"/>
      <c r="L42" s="3"/>
      <c r="M42" s="3"/>
      <c r="N42" s="3"/>
      <c r="O42" s="3"/>
      <c r="P42" s="11"/>
      <c r="Q42" s="3"/>
      <c r="R42" s="3"/>
      <c r="S42" s="3"/>
      <c r="T42" s="3"/>
    </row>
    <row r="43" spans="1:20" ht="12.75">
      <c r="A43" s="3"/>
      <c r="B43" s="3"/>
      <c r="C43" s="3"/>
      <c r="D43" s="3"/>
      <c r="E43" s="3"/>
      <c r="F43" s="3"/>
      <c r="G43" s="3"/>
      <c r="H43" s="3"/>
      <c r="I43" s="3"/>
      <c r="J43" s="11">
        <v>143</v>
      </c>
      <c r="K43" s="48" t="str">
        <f>IF(Mängud!E44="","",Mängud!E44)</f>
        <v>Mykhailo Plokhotniuk</v>
      </c>
      <c r="L43" s="48"/>
      <c r="M43" s="48"/>
      <c r="N43" s="3"/>
      <c r="O43" s="3"/>
      <c r="P43" s="11"/>
      <c r="Q43" s="3"/>
      <c r="R43" s="3"/>
      <c r="S43" s="3"/>
      <c r="T43" s="3"/>
    </row>
    <row r="44" spans="1:20" ht="12.75">
      <c r="A44" s="7">
        <v>11</v>
      </c>
      <c r="B44" s="49" t="str">
        <f>VLOOKUP(A44,Paigutus!$A$3:$H$34,4,FALSE)</f>
        <v>Kalju Kalda</v>
      </c>
      <c r="C44" s="49"/>
      <c r="D44" s="49"/>
      <c r="E44" s="3"/>
      <c r="F44" s="3"/>
      <c r="G44" s="3"/>
      <c r="H44" s="3"/>
      <c r="I44" s="3"/>
      <c r="J44" s="11"/>
      <c r="K44" s="9"/>
      <c r="L44" s="10" t="str">
        <f>IF(Mängud!F44="","",Mängud!F44)</f>
        <v>3:1</v>
      </c>
      <c r="M44" s="8"/>
      <c r="N44" s="3"/>
      <c r="O44" s="3"/>
      <c r="P44" s="11"/>
      <c r="Q44" s="3"/>
      <c r="R44" s="3"/>
      <c r="S44" s="3"/>
      <c r="T44" s="3"/>
    </row>
    <row r="45" spans="1:20" ht="12.75">
      <c r="A45" s="3"/>
      <c r="B45" s="3"/>
      <c r="C45" s="3"/>
      <c r="D45" s="8">
        <v>111</v>
      </c>
      <c r="E45" s="48" t="str">
        <f>IF(Mängud!E12="","",Mängud!E12)</f>
        <v>Kalju Kalda</v>
      </c>
      <c r="F45" s="48"/>
      <c r="G45" s="48"/>
      <c r="H45" s="3"/>
      <c r="I45" s="3"/>
      <c r="J45" s="11"/>
      <c r="K45" s="3"/>
      <c r="L45" s="3"/>
      <c r="M45" s="11"/>
      <c r="N45" s="3"/>
      <c r="O45" s="3"/>
      <c r="P45" s="11"/>
      <c r="Q45" s="3"/>
      <c r="R45" s="3"/>
      <c r="S45" s="3"/>
      <c r="T45" s="3"/>
    </row>
    <row r="46" spans="1:20" ht="12.75">
      <c r="A46" s="7">
        <v>22</v>
      </c>
      <c r="B46" s="49" t="str">
        <f>VLOOKUP(A46,Paigutus!$A$3:$H$34,4,FALSE)</f>
        <v>Tõnu Hansar</v>
      </c>
      <c r="C46" s="49"/>
      <c r="D46" s="51"/>
      <c r="E46" s="9"/>
      <c r="F46" s="10" t="str">
        <f>IF(Mängud!F12="","",Mängud!F12)</f>
        <v>3:1</v>
      </c>
      <c r="G46" s="8"/>
      <c r="H46" s="3"/>
      <c r="I46" s="3"/>
      <c r="J46" s="11"/>
      <c r="K46" s="3"/>
      <c r="L46" s="3"/>
      <c r="M46" s="11"/>
      <c r="N46" s="3"/>
      <c r="O46" s="3"/>
      <c r="P46" s="11"/>
      <c r="Q46" s="3"/>
      <c r="R46" s="3"/>
      <c r="S46" s="3"/>
      <c r="T46" s="3"/>
    </row>
    <row r="47" spans="1:20" ht="12.75">
      <c r="A47" s="3"/>
      <c r="B47" s="3"/>
      <c r="C47" s="3"/>
      <c r="D47" s="3"/>
      <c r="E47" s="3"/>
      <c r="F47" s="3"/>
      <c r="G47" s="11">
        <v>122</v>
      </c>
      <c r="H47" s="48" t="str">
        <f>IF(Mängud!E23="","",Mängud!E23)</f>
        <v>Mykhailo Plokhotniuk</v>
      </c>
      <c r="I47" s="48"/>
      <c r="J47" s="48"/>
      <c r="K47" s="12"/>
      <c r="L47" s="3"/>
      <c r="M47" s="11"/>
      <c r="N47" s="3"/>
      <c r="O47" s="3"/>
      <c r="P47" s="11"/>
      <c r="Q47" s="3"/>
      <c r="R47" s="3"/>
      <c r="S47" s="3"/>
      <c r="T47" s="3"/>
    </row>
    <row r="48" spans="1:20" ht="12.75">
      <c r="A48" s="7">
        <v>27</v>
      </c>
      <c r="B48" s="49" t="str">
        <f>VLOOKUP(A48,Paigutus!$A$3:$H$34,4,FALSE)</f>
        <v>Anatoli Zapunov</v>
      </c>
      <c r="C48" s="49"/>
      <c r="D48" s="49"/>
      <c r="E48" s="3"/>
      <c r="F48" s="3"/>
      <c r="G48" s="11"/>
      <c r="H48" s="9"/>
      <c r="I48" s="10" t="str">
        <f>IF(Mängud!F23="","",Mängud!F23)</f>
        <v>3:1</v>
      </c>
      <c r="J48" s="13"/>
      <c r="K48" s="14"/>
      <c r="L48" s="3"/>
      <c r="M48" s="11"/>
      <c r="N48" s="3"/>
      <c r="O48" s="3"/>
      <c r="P48" s="11"/>
      <c r="Q48" s="3"/>
      <c r="R48" s="3"/>
      <c r="S48" s="3"/>
      <c r="T48" s="3"/>
    </row>
    <row r="49" spans="1:20" ht="12.75">
      <c r="A49" s="3"/>
      <c r="B49" s="3"/>
      <c r="C49" s="3"/>
      <c r="D49" s="8">
        <v>112</v>
      </c>
      <c r="E49" s="48" t="str">
        <f>IF(Mängud!E13="","",Mängud!E13)</f>
        <v>Mykhailo Plokhotniuk</v>
      </c>
      <c r="F49" s="48"/>
      <c r="G49" s="48"/>
      <c r="H49" s="12"/>
      <c r="I49" s="3"/>
      <c r="J49" s="3"/>
      <c r="K49" s="3"/>
      <c r="L49" s="3"/>
      <c r="M49" s="11"/>
      <c r="N49" s="3"/>
      <c r="O49" s="3"/>
      <c r="P49" s="11"/>
      <c r="Q49" s="3"/>
      <c r="R49" s="3"/>
      <c r="S49" s="3"/>
      <c r="T49" s="3"/>
    </row>
    <row r="50" spans="1:20" ht="12.75">
      <c r="A50" s="7">
        <v>6</v>
      </c>
      <c r="B50" s="49" t="str">
        <f>VLOOKUP(A50,Paigutus!$A$3:$H$34,4,FALSE)</f>
        <v>Mykhailo Plokhotniuk</v>
      </c>
      <c r="C50" s="49"/>
      <c r="D50" s="51"/>
      <c r="E50" s="9"/>
      <c r="F50" s="10" t="str">
        <f>IF(Mängud!F13="","",Mängud!F13)</f>
        <v>3:0</v>
      </c>
      <c r="G50" s="13"/>
      <c r="H50" s="14"/>
      <c r="I50" s="3"/>
      <c r="J50" s="3"/>
      <c r="K50" s="3"/>
      <c r="L50" s="3"/>
      <c r="M50" s="11"/>
      <c r="N50" s="3"/>
      <c r="O50" s="3"/>
      <c r="P50" s="11"/>
      <c r="Q50" s="3"/>
      <c r="R50" s="3"/>
      <c r="S50" s="3"/>
      <c r="T50" s="3"/>
    </row>
    <row r="51" spans="1:20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11">
        <v>158</v>
      </c>
      <c r="N51" s="50" t="str">
        <f>IF(Mängud!E59="","",Mängud!E59)</f>
        <v>Mykhailo Plokhotniuk</v>
      </c>
      <c r="O51" s="50"/>
      <c r="P51" s="50"/>
      <c r="Q51" s="3"/>
      <c r="R51" s="3"/>
      <c r="S51" s="3"/>
      <c r="T51" s="3"/>
    </row>
    <row r="52" spans="1:20" ht="12.75">
      <c r="A52" s="7">
        <v>7</v>
      </c>
      <c r="B52" s="49" t="str">
        <f>VLOOKUP(A52,Paigutus!$A$3:$H$34,4,FALSE)</f>
        <v>Imre Korsen</v>
      </c>
      <c r="C52" s="49"/>
      <c r="D52" s="49"/>
      <c r="E52" s="3"/>
      <c r="F52" s="3"/>
      <c r="G52" s="3"/>
      <c r="H52" s="3"/>
      <c r="I52" s="3"/>
      <c r="J52" s="3"/>
      <c r="K52" s="3"/>
      <c r="L52" s="3"/>
      <c r="M52" s="11"/>
      <c r="N52" s="9"/>
      <c r="O52" s="10" t="str">
        <f>IF(Mängud!F59="","",Mängud!F59)</f>
        <v>3:2</v>
      </c>
      <c r="P52" s="3"/>
      <c r="Q52" s="3"/>
      <c r="R52" s="3"/>
      <c r="S52" s="3"/>
      <c r="T52" s="3"/>
    </row>
    <row r="53" spans="1:20" ht="12.75">
      <c r="A53" s="3"/>
      <c r="B53" s="3"/>
      <c r="C53" s="3"/>
      <c r="D53" s="8">
        <v>113</v>
      </c>
      <c r="E53" s="48" t="str">
        <f>IF(Mängud!E14="","",Mängud!E14)</f>
        <v>Imre Korsen</v>
      </c>
      <c r="F53" s="48"/>
      <c r="G53" s="48"/>
      <c r="H53" s="3"/>
      <c r="I53" s="3"/>
      <c r="J53" s="3"/>
      <c r="K53" s="3"/>
      <c r="L53" s="3"/>
      <c r="M53" s="11"/>
      <c r="N53" s="3"/>
      <c r="O53" s="3"/>
      <c r="P53" s="3"/>
      <c r="Q53" s="3"/>
      <c r="R53" s="3"/>
      <c r="S53" s="3"/>
      <c r="T53" s="3"/>
    </row>
    <row r="54" spans="1:20" ht="12.75">
      <c r="A54" s="7">
        <v>26</v>
      </c>
      <c r="B54" s="49" t="str">
        <f>VLOOKUP(A54,Paigutus!$A$3:$H$34,4,FALSE)</f>
        <v>Heiki Hansar</v>
      </c>
      <c r="C54" s="49"/>
      <c r="D54" s="51"/>
      <c r="E54" s="9"/>
      <c r="F54" s="10" t="str">
        <f>IF(Mängud!F14="","",Mängud!F14)</f>
        <v>3:0</v>
      </c>
      <c r="G54" s="8"/>
      <c r="H54" s="3"/>
      <c r="I54" s="3"/>
      <c r="J54" s="3"/>
      <c r="K54" s="3"/>
      <c r="L54" s="3"/>
      <c r="M54" s="11"/>
      <c r="N54" s="3"/>
      <c r="O54" s="3"/>
      <c r="P54" s="3"/>
      <c r="Q54" s="3"/>
      <c r="R54" s="3"/>
      <c r="S54" s="3"/>
      <c r="T54" s="3"/>
    </row>
    <row r="55" spans="1:20" ht="12.75">
      <c r="A55" s="3"/>
      <c r="B55" s="3"/>
      <c r="C55" s="3"/>
      <c r="D55" s="3"/>
      <c r="E55" s="3"/>
      <c r="F55" s="3"/>
      <c r="G55" s="11">
        <v>123</v>
      </c>
      <c r="H55" s="48" t="str">
        <f>IF(Mängud!E24="","",Mängud!E24)</f>
        <v>Imre Korsen</v>
      </c>
      <c r="I55" s="48"/>
      <c r="J55" s="48"/>
      <c r="K55" s="3"/>
      <c r="L55" s="3"/>
      <c r="M55" s="11"/>
      <c r="N55" s="3"/>
      <c r="O55" s="3"/>
      <c r="P55" s="3"/>
      <c r="Q55" s="3"/>
      <c r="R55" s="3"/>
      <c r="S55" s="3"/>
      <c r="T55" s="3"/>
    </row>
    <row r="56" spans="1:20" ht="12.75">
      <c r="A56" s="7">
        <v>23</v>
      </c>
      <c r="B56" s="49" t="str">
        <f>VLOOKUP(A56,Paigutus!$A$3:$H$34,4,FALSE)</f>
        <v>Hannes Lepik</v>
      </c>
      <c r="C56" s="49"/>
      <c r="D56" s="49"/>
      <c r="E56" s="3"/>
      <c r="F56" s="3"/>
      <c r="G56" s="11"/>
      <c r="H56" s="9"/>
      <c r="I56" s="10" t="str">
        <f>IF(Mängud!F24="","",Mängud!F24)</f>
        <v>3:1</v>
      </c>
      <c r="J56" s="8"/>
      <c r="K56" s="3"/>
      <c r="L56" s="3"/>
      <c r="M56" s="11"/>
      <c r="N56" s="3"/>
      <c r="O56" s="3"/>
      <c r="P56" s="3"/>
      <c r="Q56" s="3"/>
      <c r="R56" s="3"/>
      <c r="S56" s="3"/>
      <c r="T56" s="3"/>
    </row>
    <row r="57" spans="1:20" ht="12.75">
      <c r="A57" s="3"/>
      <c r="B57" s="3"/>
      <c r="C57" s="3"/>
      <c r="D57" s="8">
        <v>114</v>
      </c>
      <c r="E57" s="48" t="str">
        <f>IF(Mängud!E15="","",Mängud!E15)</f>
        <v>Keit Reinsalu</v>
      </c>
      <c r="F57" s="48"/>
      <c r="G57" s="48"/>
      <c r="H57" s="12"/>
      <c r="I57" s="3"/>
      <c r="J57" s="11"/>
      <c r="K57" s="3"/>
      <c r="L57" s="3"/>
      <c r="M57" s="11"/>
      <c r="N57" s="3"/>
      <c r="O57" s="3"/>
      <c r="P57" s="3"/>
      <c r="Q57" s="3"/>
      <c r="R57" s="3"/>
      <c r="S57" s="3"/>
      <c r="T57" s="3"/>
    </row>
    <row r="58" spans="1:20" ht="12.75">
      <c r="A58" s="7">
        <v>10</v>
      </c>
      <c r="B58" s="49" t="str">
        <f>VLOOKUP(A58,Paigutus!$A$3:$H$34,4,FALSE)</f>
        <v>Keit Reinsalu</v>
      </c>
      <c r="C58" s="49"/>
      <c r="D58" s="51"/>
      <c r="E58" s="9"/>
      <c r="F58" s="10" t="str">
        <f>IF(Mängud!F15="","",Mängud!F15)</f>
        <v>3:0</v>
      </c>
      <c r="G58" s="13"/>
      <c r="H58" s="14"/>
      <c r="I58" s="3"/>
      <c r="J58" s="11"/>
      <c r="K58" s="3"/>
      <c r="L58" s="3"/>
      <c r="M58" s="11"/>
      <c r="N58" s="3"/>
      <c r="O58" s="3"/>
      <c r="P58" s="3"/>
      <c r="Q58" s="3"/>
      <c r="R58" s="3"/>
      <c r="S58" s="3"/>
      <c r="T58" s="3"/>
    </row>
    <row r="59" spans="1:20" ht="12.75">
      <c r="A59" s="3"/>
      <c r="B59" s="3"/>
      <c r="C59" s="3"/>
      <c r="D59" s="3"/>
      <c r="E59" s="3"/>
      <c r="F59" s="3"/>
      <c r="G59" s="3"/>
      <c r="H59" s="3"/>
      <c r="I59" s="3"/>
      <c r="J59" s="11">
        <v>144</v>
      </c>
      <c r="K59" s="48" t="str">
        <f>IF(Mängud!E45="","",Mängud!E45)</f>
        <v>Allan Salla</v>
      </c>
      <c r="L59" s="48"/>
      <c r="M59" s="48"/>
      <c r="N59" s="12"/>
      <c r="O59" s="3"/>
      <c r="P59" s="3"/>
      <c r="Q59" s="3"/>
      <c r="R59" s="3"/>
      <c r="S59" s="3"/>
      <c r="T59" s="3"/>
    </row>
    <row r="60" spans="1:20" ht="12.75">
      <c r="A60" s="7">
        <v>15</v>
      </c>
      <c r="B60" s="49" t="str">
        <f>VLOOKUP(A60,Paigutus!$A$3:$H$34,4,FALSE)</f>
        <v>Heikki Sool</v>
      </c>
      <c r="C60" s="49"/>
      <c r="D60" s="49"/>
      <c r="E60" s="3"/>
      <c r="F60" s="3"/>
      <c r="G60" s="3"/>
      <c r="H60" s="3"/>
      <c r="I60" s="3"/>
      <c r="J60" s="11"/>
      <c r="K60" s="9"/>
      <c r="L60" s="10" t="str">
        <f>IF(Mängud!F45="","",Mängud!F45)</f>
        <v>3:2</v>
      </c>
      <c r="M60" s="13"/>
      <c r="N60" s="14"/>
      <c r="O60" s="3"/>
      <c r="P60" s="3"/>
      <c r="Q60" s="3"/>
      <c r="R60" s="3"/>
      <c r="S60" s="3"/>
      <c r="T60" s="3"/>
    </row>
    <row r="61" spans="1:20" ht="12.75">
      <c r="A61" s="3"/>
      <c r="B61" s="3"/>
      <c r="C61" s="3"/>
      <c r="D61" s="8">
        <v>115</v>
      </c>
      <c r="E61" s="48" t="str">
        <f>IF(Mängud!E16="","",Mängud!E16)</f>
        <v>Marko Perendi</v>
      </c>
      <c r="F61" s="48"/>
      <c r="G61" s="48"/>
      <c r="H61" s="3"/>
      <c r="I61" s="3"/>
      <c r="J61" s="11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7">
        <v>18</v>
      </c>
      <c r="B62" s="49" t="str">
        <f>VLOOKUP(A62,Paigutus!$A$3:$H$34,4,FALSE)</f>
        <v>Marko Perendi</v>
      </c>
      <c r="C62" s="49"/>
      <c r="D62" s="51"/>
      <c r="E62" s="9"/>
      <c r="F62" s="10" t="str">
        <f>IF(Mängud!F16="","",Mängud!F16)</f>
        <v>3:1</v>
      </c>
      <c r="G62" s="8"/>
      <c r="H62" s="3"/>
      <c r="I62" s="3"/>
      <c r="J62" s="11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>
      <c r="A63" s="3"/>
      <c r="B63" s="3"/>
      <c r="C63" s="3"/>
      <c r="D63" s="3"/>
      <c r="E63" s="3"/>
      <c r="F63" s="3"/>
      <c r="G63" s="11">
        <v>124</v>
      </c>
      <c r="H63" s="48" t="str">
        <f>IF(Mängud!E25="","",Mängud!E25)</f>
        <v>Allan Salla</v>
      </c>
      <c r="I63" s="48"/>
      <c r="J63" s="48"/>
      <c r="K63" s="12"/>
      <c r="L63" s="3"/>
      <c r="M63" s="3"/>
      <c r="N63" s="3"/>
      <c r="O63" s="3"/>
      <c r="P63" s="7">
        <v>-177</v>
      </c>
      <c r="Q63" s="49" t="str">
        <f>IF(Q35="","",IF(Q35=N19,N51,N19))</f>
        <v>Mykhailo Plokhotniuk</v>
      </c>
      <c r="R63" s="49"/>
      <c r="S63" s="49"/>
      <c r="T63" s="7" t="s">
        <v>10</v>
      </c>
    </row>
    <row r="64" spans="1:20" ht="12.75">
      <c r="A64" s="7">
        <v>31</v>
      </c>
      <c r="B64" s="49" t="str">
        <f>VLOOKUP(A64,Paigutus!$A$3:$H$34,4,FALSE)</f>
        <v>Bye Bye</v>
      </c>
      <c r="C64" s="49"/>
      <c r="D64" s="49"/>
      <c r="E64" s="3"/>
      <c r="F64" s="3"/>
      <c r="G64" s="11"/>
      <c r="H64" s="9"/>
      <c r="I64" s="10" t="str">
        <f>IF(Mängud!F74="","",Mängud!F74)</f>
        <v>3:0</v>
      </c>
      <c r="J64" s="13"/>
      <c r="K64" s="14"/>
      <c r="L64" s="3"/>
      <c r="M64" s="3"/>
      <c r="N64" s="3"/>
      <c r="O64" s="3"/>
      <c r="P64" s="3"/>
      <c r="Q64" s="3"/>
      <c r="R64" s="3"/>
      <c r="S64" s="3"/>
      <c r="T64" s="3"/>
    </row>
    <row r="65" spans="1:20" ht="12.75">
      <c r="A65" s="3"/>
      <c r="B65" s="3"/>
      <c r="C65" s="3"/>
      <c r="D65" s="8">
        <v>116</v>
      </c>
      <c r="E65" s="50" t="str">
        <f>IF(Mängud!E17="","",Mängud!E17)</f>
        <v>Allan Salla</v>
      </c>
      <c r="F65" s="50"/>
      <c r="G65" s="50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>
      <c r="A66" s="7">
        <v>2</v>
      </c>
      <c r="B66" s="49" t="str">
        <f>VLOOKUP(A66,Paigutus!$A$3:$H$34,4,FALSE)</f>
        <v>Allan Salla</v>
      </c>
      <c r="C66" s="49"/>
      <c r="D66" s="51"/>
      <c r="E66" s="9"/>
      <c r="F66" s="10" t="str">
        <f>IF(Mängud!F17="","",Mängud!F17)</f>
        <v>w.o.</v>
      </c>
      <c r="G66" s="13"/>
      <c r="H66" s="1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>
      <c r="A67" s="3"/>
      <c r="B67" s="3"/>
      <c r="C67" s="3"/>
      <c r="D67" s="3"/>
      <c r="E67" s="3"/>
      <c r="F67" s="3"/>
      <c r="G67" s="3"/>
      <c r="H67" s="1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>
      <c r="A74" s="52" t="s">
        <v>101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</row>
    <row r="75" spans="1:20" ht="12.75">
      <c r="A75" s="3"/>
      <c r="B75" s="3"/>
      <c r="C75" s="3"/>
      <c r="D75" s="7">
        <v>-120</v>
      </c>
      <c r="E75" s="35" t="str">
        <f>IF(Plussring!H32="","",IF(Plussring!H32=Plussring!E30,Plussring!E34,Plussring!E30))</f>
        <v>Jimmy Lindborg</v>
      </c>
      <c r="F75" s="35"/>
      <c r="G75" s="35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"/>
      <c r="T75" s="3"/>
    </row>
    <row r="76" spans="1:20" ht="12.75">
      <c r="A76" s="7">
        <v>-109</v>
      </c>
      <c r="B76" s="49" t="str">
        <f>IF(Plussring!E38="","",IF(Plussring!E38=Plussring!B37,Plussring!B39,Plussring!B37))</f>
        <v>Jako Lill</v>
      </c>
      <c r="C76" s="49"/>
      <c r="D76" s="49"/>
      <c r="E76" s="3"/>
      <c r="F76" s="3"/>
      <c r="G76" s="8">
        <v>133</v>
      </c>
      <c r="H76" s="48" t="str">
        <f>IF(Mängud!E34="","",Mängud!E34)</f>
        <v>Jimmy Lindborg</v>
      </c>
      <c r="I76" s="48"/>
      <c r="J76" s="48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>
      <c r="A77" s="3"/>
      <c r="B77" s="3"/>
      <c r="C77" s="3"/>
      <c r="D77" s="8">
        <v>125</v>
      </c>
      <c r="E77" s="50" t="str">
        <f>IF(Mängud!E26="","",Mängud!E26)</f>
        <v>Taavi Miku</v>
      </c>
      <c r="F77" s="50"/>
      <c r="G77" s="50"/>
      <c r="H77" s="9"/>
      <c r="I77" s="10" t="str">
        <f>IF(Mängud!F34="","",Mängud!F34)</f>
        <v>3:1</v>
      </c>
      <c r="J77" s="8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>
      <c r="A78" s="7">
        <v>-110</v>
      </c>
      <c r="B78" s="49" t="str">
        <f>IF(Plussring!E42="","",IF(Plussring!E42=Plussring!B41,Plussring!B43,Plussring!B41))</f>
        <v>Taavi Miku</v>
      </c>
      <c r="C78" s="49"/>
      <c r="D78" s="49"/>
      <c r="E78" s="16"/>
      <c r="F78" s="10" t="str">
        <f>IF(Mängud!F26="","",Mängud!F26)</f>
        <v>3:0</v>
      </c>
      <c r="G78" s="3"/>
      <c r="H78" s="3"/>
      <c r="I78" s="3"/>
      <c r="J78" s="11">
        <v>149</v>
      </c>
      <c r="K78" s="48" t="str">
        <f>IF(Mängud!E50="","",Mängud!E50)</f>
        <v>Jimmy Lindborg</v>
      </c>
      <c r="L78" s="48"/>
      <c r="M78" s="48"/>
      <c r="N78" s="3"/>
      <c r="O78" s="3"/>
      <c r="P78" s="3"/>
      <c r="Q78" s="3"/>
      <c r="R78" s="3"/>
      <c r="S78" s="3"/>
      <c r="T78" s="3"/>
    </row>
    <row r="79" spans="1:20" ht="12.75">
      <c r="A79" s="3"/>
      <c r="B79" s="3"/>
      <c r="C79" s="3"/>
      <c r="D79" s="7">
        <v>-119</v>
      </c>
      <c r="E79" s="49" t="str">
        <f>IF(Plussring!H24="","",IF(Plussring!H24=Plussring!E22,Plussring!E26,Plussring!E22))</f>
        <v>Reino Ristissaar</v>
      </c>
      <c r="F79" s="49"/>
      <c r="G79" s="49"/>
      <c r="H79" s="3"/>
      <c r="I79" s="3"/>
      <c r="J79" s="11"/>
      <c r="K79" s="9"/>
      <c r="L79" s="10" t="str">
        <f>IF(Mängud!F50="","",Mängud!F50)</f>
        <v>3:2</v>
      </c>
      <c r="M79" s="8"/>
      <c r="N79" s="3"/>
      <c r="O79" s="3"/>
      <c r="P79" s="3"/>
      <c r="Q79" s="3"/>
      <c r="R79" s="3"/>
      <c r="S79" s="3"/>
      <c r="T79" s="3"/>
    </row>
    <row r="80" spans="1:20" ht="12.75">
      <c r="A80" s="7">
        <v>-111</v>
      </c>
      <c r="B80" s="49" t="str">
        <f>IF(Plussring!E46="","",IF(Plussring!E46=Plussring!B45,Plussring!B47,Plussring!B45))</f>
        <v>Tõnu Hansar</v>
      </c>
      <c r="C80" s="49"/>
      <c r="D80" s="49"/>
      <c r="E80" s="3"/>
      <c r="F80" s="3"/>
      <c r="G80" s="8">
        <v>134</v>
      </c>
      <c r="H80" s="48" t="str">
        <f>IF(Mängud!E35="","",Mängud!E35)</f>
        <v>Tõnu Hansar</v>
      </c>
      <c r="I80" s="48"/>
      <c r="J80" s="48"/>
      <c r="K80" s="12"/>
      <c r="L80" s="3"/>
      <c r="M80" s="11">
        <v>163</v>
      </c>
      <c r="N80" s="48" t="str">
        <f>IF(Mängud!E64="","",Mängud!E64)</f>
        <v>Jimmy Lindborg</v>
      </c>
      <c r="O80" s="48"/>
      <c r="P80" s="48"/>
      <c r="Q80" s="3"/>
      <c r="R80" s="3"/>
      <c r="S80" s="3"/>
      <c r="T80" s="3"/>
    </row>
    <row r="81" spans="1:20" ht="12.75">
      <c r="A81" s="3"/>
      <c r="B81" s="3"/>
      <c r="C81" s="3"/>
      <c r="D81" s="8">
        <v>126</v>
      </c>
      <c r="E81" s="50" t="str">
        <f>IF(Mängud!E27="","",Mängud!E27)</f>
        <v>Tõnu Hansar</v>
      </c>
      <c r="F81" s="50"/>
      <c r="G81" s="50"/>
      <c r="H81" s="9"/>
      <c r="I81" s="10" t="str">
        <f>IF(Mängud!F35="","",Mängud!F35)</f>
        <v>3:2</v>
      </c>
      <c r="J81" s="13"/>
      <c r="K81" s="14"/>
      <c r="L81" s="3"/>
      <c r="M81" s="11"/>
      <c r="N81" s="9"/>
      <c r="O81" s="10" t="str">
        <f>IF(Mängud!F64="","",Mängud!F64)</f>
        <v>3:2</v>
      </c>
      <c r="P81" s="8"/>
      <c r="Q81" s="3"/>
      <c r="R81" s="3"/>
      <c r="S81" s="3"/>
      <c r="T81" s="3"/>
    </row>
    <row r="82" spans="1:20" ht="12.75">
      <c r="A82" s="7">
        <v>-112</v>
      </c>
      <c r="B82" s="49" t="str">
        <f>IF(Plussring!E50="","",IF(Plussring!E50=Plussring!B49,Plussring!B51,Plussring!B49))</f>
        <v>Anatoli Zapunov</v>
      </c>
      <c r="C82" s="49"/>
      <c r="D82" s="49"/>
      <c r="E82" s="16"/>
      <c r="F82" s="10" t="str">
        <f>IF(Mängud!F27="","",Mängud!F27)</f>
        <v>3:1</v>
      </c>
      <c r="G82" s="3"/>
      <c r="H82" s="3"/>
      <c r="I82" s="3"/>
      <c r="J82" s="7">
        <v>-144</v>
      </c>
      <c r="K82" s="70" t="str">
        <f>IF(Plussring!K60="","",IF(Plussring!K60=Plussring!H56,Plussring!H64,Plussring!H56))</f>
        <v>Imre Korsen</v>
      </c>
      <c r="L82" s="70"/>
      <c r="M82" s="70"/>
      <c r="N82" s="3"/>
      <c r="O82" s="3"/>
      <c r="P82" s="11"/>
      <c r="Q82" s="3"/>
      <c r="R82" s="3"/>
      <c r="S82" s="3"/>
      <c r="T82" s="3"/>
    </row>
    <row r="83" spans="1:20" ht="12.75">
      <c r="A83" s="3"/>
      <c r="B83" s="3"/>
      <c r="C83" s="3"/>
      <c r="D83" s="7">
        <v>-118</v>
      </c>
      <c r="E83" s="49" t="str">
        <f>IF(Plussring!H16="","",IF(Plussring!H16=Plussring!E14,Plussring!E18,Plussring!E14))</f>
        <v>Eduard Virkunen</v>
      </c>
      <c r="F83" s="49"/>
      <c r="G83" s="49"/>
      <c r="H83" s="3"/>
      <c r="I83" s="3"/>
      <c r="J83" s="3"/>
      <c r="K83" s="3"/>
      <c r="L83" s="3"/>
      <c r="M83" s="3"/>
      <c r="N83" s="3"/>
      <c r="O83" s="3"/>
      <c r="P83" s="11"/>
      <c r="Q83" s="3"/>
      <c r="R83" s="3"/>
      <c r="S83" s="3"/>
      <c r="T83" s="3"/>
    </row>
    <row r="84" spans="1:20" ht="12.75">
      <c r="A84" s="7">
        <v>-113</v>
      </c>
      <c r="B84" s="49" t="str">
        <f>IF(Plussring!E54="","",IF(Plussring!E54=Plussring!B53,Plussring!B55,Plussring!B53))</f>
        <v>Heiki Hansar</v>
      </c>
      <c r="C84" s="49"/>
      <c r="D84" s="49"/>
      <c r="E84" s="3"/>
      <c r="F84" s="3"/>
      <c r="G84" s="8">
        <v>135</v>
      </c>
      <c r="H84" s="48" t="str">
        <f>IF(Mängud!E36="","",Mängud!E36)</f>
        <v>Eduard Virkunen</v>
      </c>
      <c r="I84" s="48"/>
      <c r="J84" s="48"/>
      <c r="K84" s="3"/>
      <c r="L84" s="3"/>
      <c r="M84" s="3"/>
      <c r="N84" s="3"/>
      <c r="O84" s="3"/>
      <c r="P84" s="11">
        <v>173</v>
      </c>
      <c r="Q84" s="48" t="str">
        <f>IF(Mängud!E74="","",Mängud!E74)</f>
        <v>Andres Somer</v>
      </c>
      <c r="R84" s="48"/>
      <c r="S84" s="48"/>
      <c r="T84" s="17"/>
    </row>
    <row r="85" spans="1:20" ht="12.75">
      <c r="A85" s="3"/>
      <c r="B85" s="3"/>
      <c r="C85" s="3"/>
      <c r="D85" s="8">
        <v>127</v>
      </c>
      <c r="E85" s="50" t="str">
        <f>IF(Mängud!E28="","",Mängud!E28)</f>
        <v>Hannes Lepik</v>
      </c>
      <c r="F85" s="50"/>
      <c r="G85" s="50"/>
      <c r="H85" s="9"/>
      <c r="I85" s="10" t="str">
        <f>IF(Mängud!F36="","",Mängud!F36)</f>
        <v>3:1</v>
      </c>
      <c r="J85" s="8"/>
      <c r="K85" s="3"/>
      <c r="L85" s="3"/>
      <c r="M85" s="3"/>
      <c r="N85" s="3"/>
      <c r="O85" s="3"/>
      <c r="P85" s="11"/>
      <c r="Q85" s="9"/>
      <c r="R85" s="10" t="str">
        <f>IF(Mängud!F74="","",Mängud!F74)</f>
        <v>3:0</v>
      </c>
      <c r="S85" s="3"/>
      <c r="T85" s="3"/>
    </row>
    <row r="86" spans="1:20" ht="12.75">
      <c r="A86" s="7">
        <v>-114</v>
      </c>
      <c r="B86" s="49" t="str">
        <f>IF(Plussring!E58="","",IF(Plussring!E58=Plussring!B57,Plussring!B59,Plussring!B57))</f>
        <v>Hannes Lepik</v>
      </c>
      <c r="C86" s="49"/>
      <c r="D86" s="49"/>
      <c r="E86" s="16"/>
      <c r="F86" s="10" t="str">
        <f>IF(Mängud!F28="","",Mängud!F28)</f>
        <v>3:1</v>
      </c>
      <c r="G86" s="3"/>
      <c r="H86" s="3"/>
      <c r="I86" s="3"/>
      <c r="J86" s="11">
        <v>150</v>
      </c>
      <c r="K86" s="48" t="str">
        <f>IF(Mängud!E51="","",Mängud!E51)</f>
        <v>Eduard Virkunen</v>
      </c>
      <c r="L86" s="48"/>
      <c r="M86" s="48"/>
      <c r="N86" s="3"/>
      <c r="O86" s="3"/>
      <c r="P86" s="11"/>
      <c r="Q86" s="3"/>
      <c r="R86" s="3"/>
      <c r="S86" s="3"/>
      <c r="T86" s="3"/>
    </row>
    <row r="87" spans="1:20" ht="12.75">
      <c r="A87" s="3"/>
      <c r="B87" s="3"/>
      <c r="C87" s="3"/>
      <c r="D87" s="7">
        <v>-117</v>
      </c>
      <c r="E87" s="49" t="str">
        <f>IF(Plussring!H8="","",IF(Plussring!H8=Plussring!E6,Plussring!E10,Plussring!E6))</f>
        <v>Raigo Rommot</v>
      </c>
      <c r="F87" s="49"/>
      <c r="G87" s="49"/>
      <c r="H87" s="3"/>
      <c r="I87" s="3"/>
      <c r="J87" s="11"/>
      <c r="K87" s="9"/>
      <c r="L87" s="10" t="str">
        <f>IF(Mängud!F51="","",Mängud!F51)</f>
        <v>3:2</v>
      </c>
      <c r="M87" s="8"/>
      <c r="N87" s="3"/>
      <c r="O87" s="3"/>
      <c r="P87" s="11"/>
      <c r="Q87" s="3"/>
      <c r="R87" s="3"/>
      <c r="S87" s="3"/>
      <c r="T87" s="3"/>
    </row>
    <row r="88" spans="1:20" ht="12.75">
      <c r="A88" s="7">
        <v>-115</v>
      </c>
      <c r="B88" s="49" t="str">
        <f>IF(Plussring!E62="","",IF(Plussring!E62=Plussring!B61,Plussring!B63,Plussring!B61))</f>
        <v>Heikki Sool</v>
      </c>
      <c r="C88" s="49"/>
      <c r="D88" s="49"/>
      <c r="E88" s="3"/>
      <c r="F88" s="3"/>
      <c r="G88" s="8">
        <v>136</v>
      </c>
      <c r="H88" s="48" t="str">
        <f>IF(Mängud!E37="","",Mängud!E37)</f>
        <v>Heikki Sool</v>
      </c>
      <c r="I88" s="48"/>
      <c r="J88" s="48"/>
      <c r="K88" s="12"/>
      <c r="L88" s="3"/>
      <c r="M88" s="11">
        <v>164</v>
      </c>
      <c r="N88" s="48" t="str">
        <f>IF(Mängud!E65="","",Mängud!E65)</f>
        <v>Andres Somer</v>
      </c>
      <c r="O88" s="48"/>
      <c r="P88" s="48"/>
      <c r="Q88" s="12"/>
      <c r="R88" s="3"/>
      <c r="S88" s="3"/>
      <c r="T88" s="3"/>
    </row>
    <row r="89" spans="1:20" ht="12.75">
      <c r="A89" s="3"/>
      <c r="B89" s="3"/>
      <c r="C89" s="3"/>
      <c r="D89" s="8">
        <v>128</v>
      </c>
      <c r="E89" s="50" t="str">
        <f>IF(Mängud!E29="","",Mängud!E29)</f>
        <v>Heikki Sool</v>
      </c>
      <c r="F89" s="50"/>
      <c r="G89" s="50"/>
      <c r="H89" s="9"/>
      <c r="I89" s="10" t="str">
        <f>IF(Mängud!F37="","",Mängud!F37)</f>
        <v>3:1</v>
      </c>
      <c r="J89" s="13"/>
      <c r="K89" s="14"/>
      <c r="L89" s="3"/>
      <c r="M89" s="11"/>
      <c r="N89" s="9"/>
      <c r="O89" s="10" t="str">
        <f>IF(Mängud!F65="","",Mängud!F65)</f>
        <v>3:0</v>
      </c>
      <c r="P89" s="13"/>
      <c r="Q89" s="14"/>
      <c r="R89" s="3"/>
      <c r="S89" s="3"/>
      <c r="T89" s="3"/>
    </row>
    <row r="90" spans="1:20" ht="12.75">
      <c r="A90" s="7">
        <v>-116</v>
      </c>
      <c r="B90" s="49" t="str">
        <f>IF(Plussring!E66="","",IF(Plussring!E66=Plussring!B65,Plussring!B67,Plussring!B65))</f>
        <v>Bye Bye</v>
      </c>
      <c r="C90" s="49"/>
      <c r="D90" s="49"/>
      <c r="E90" s="16"/>
      <c r="F90" s="10" t="str">
        <f>IF(Mängud!F29="","",Mängud!F29)</f>
        <v>w.o.</v>
      </c>
      <c r="G90" s="3"/>
      <c r="H90" s="3"/>
      <c r="I90" s="3"/>
      <c r="J90" s="7">
        <v>-143</v>
      </c>
      <c r="K90" s="70" t="str">
        <f>IF(Plussring!K44="","",IF(Plussring!K44=Plussring!H40,Plussring!H48,Plussring!H40))</f>
        <v>Andres Somer</v>
      </c>
      <c r="L90" s="70"/>
      <c r="M90" s="70"/>
      <c r="N90" s="3"/>
      <c r="O90" s="3"/>
      <c r="P90" s="3"/>
      <c r="Q90" s="3"/>
      <c r="R90" s="3"/>
      <c r="S90" s="3"/>
      <c r="T90" s="3"/>
    </row>
    <row r="91" spans="1:20" ht="12.75">
      <c r="A91" s="3"/>
      <c r="B91" s="3"/>
      <c r="C91" s="3"/>
      <c r="D91" s="7">
        <v>-124</v>
      </c>
      <c r="E91" s="49" t="str">
        <f>IF(Plussring!H64="","",IF(Plussring!H64=Plussring!E62,Plussring!E66,Plussring!E62))</f>
        <v>Marko Perendi</v>
      </c>
      <c r="F91" s="49"/>
      <c r="G91" s="49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>
      <c r="A92" s="7">
        <v>-101</v>
      </c>
      <c r="B92" s="49" t="str">
        <f>IF(Plussring!E6="","",IF(Plussring!E6=Plussring!B5,Plussring!B7,Plussring!B5))</f>
        <v>Bye Bye</v>
      </c>
      <c r="C92" s="49"/>
      <c r="D92" s="49"/>
      <c r="E92" s="3"/>
      <c r="F92" s="3"/>
      <c r="G92" s="8">
        <v>137</v>
      </c>
      <c r="H92" s="48" t="str">
        <f>IF(Mängud!E38="","",Mängud!E38)</f>
        <v>Marko Perendi</v>
      </c>
      <c r="I92" s="48"/>
      <c r="J92" s="48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>
      <c r="A93" s="3"/>
      <c r="B93" s="3"/>
      <c r="C93" s="3"/>
      <c r="D93" s="8">
        <v>129</v>
      </c>
      <c r="E93" s="50" t="str">
        <f>IF(Mängud!E30="","",Mängud!E30)</f>
        <v>Kalle Kuuspalu</v>
      </c>
      <c r="F93" s="50"/>
      <c r="G93" s="50"/>
      <c r="H93" s="9"/>
      <c r="I93" s="10" t="str">
        <f>IF(Mängud!F38="","",Mängud!F38)</f>
        <v>3:0</v>
      </c>
      <c r="J93" s="8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>
      <c r="A94" s="7">
        <v>-102</v>
      </c>
      <c r="B94" s="49" t="str">
        <f>IF(Plussring!E10="","",IF(Plussring!E10=Plussring!B9,Plussring!B11,Plussring!B9))</f>
        <v>Kalle Kuuspalu</v>
      </c>
      <c r="C94" s="49"/>
      <c r="D94" s="49"/>
      <c r="E94" s="16"/>
      <c r="F94" s="10" t="str">
        <f>IF(Mängud!F30="","",Mängud!F30)</f>
        <v>w.o.</v>
      </c>
      <c r="G94" s="3"/>
      <c r="H94" s="3"/>
      <c r="I94" s="3"/>
      <c r="J94" s="11">
        <v>151</v>
      </c>
      <c r="K94" s="48" t="str">
        <f>IF(Mängud!E52="","",Mängud!E52)</f>
        <v>Keit Reinsalu</v>
      </c>
      <c r="L94" s="48"/>
      <c r="M94" s="48"/>
      <c r="N94" s="3"/>
      <c r="O94" s="3"/>
      <c r="P94" s="3"/>
      <c r="Q94" s="3"/>
      <c r="R94" s="3"/>
      <c r="S94" s="3"/>
      <c r="T94" s="3"/>
    </row>
    <row r="95" spans="1:20" ht="12.75">
      <c r="A95" s="3"/>
      <c r="B95" s="3"/>
      <c r="C95" s="3"/>
      <c r="D95" s="7">
        <v>-123</v>
      </c>
      <c r="E95" s="49" t="str">
        <f>IF(Plussring!H56="","",IF(Plussring!H56=Plussring!E54,Plussring!E58,Plussring!E54))</f>
        <v>Keit Reinsalu</v>
      </c>
      <c r="F95" s="49"/>
      <c r="G95" s="49"/>
      <c r="H95" s="3"/>
      <c r="I95" s="3"/>
      <c r="J95" s="11"/>
      <c r="K95" s="9"/>
      <c r="L95" s="10" t="str">
        <f>IF(Mängud!F52="","",Mängud!F52)</f>
        <v>3:0</v>
      </c>
      <c r="M95" s="8"/>
      <c r="N95" s="3"/>
      <c r="O95" s="3"/>
      <c r="P95" s="3"/>
      <c r="Q95" s="3"/>
      <c r="R95" s="3"/>
      <c r="S95" s="3"/>
      <c r="T95" s="3"/>
    </row>
    <row r="96" spans="1:20" ht="12.75">
      <c r="A96" s="7">
        <v>-103</v>
      </c>
      <c r="B96" s="49" t="str">
        <f>IF(Plussring!E14="","",IF(Plussring!E14=Plussring!B13,Plussring!B15,Plussring!B13))</f>
        <v>Raivo Roots</v>
      </c>
      <c r="C96" s="49"/>
      <c r="D96" s="49"/>
      <c r="E96" s="3"/>
      <c r="F96" s="3"/>
      <c r="G96" s="8">
        <v>138</v>
      </c>
      <c r="H96" s="48" t="str">
        <f>IF(Mängud!E39="","",Mängud!E39)</f>
        <v>Keit Reinsalu</v>
      </c>
      <c r="I96" s="48"/>
      <c r="J96" s="48"/>
      <c r="K96" s="12"/>
      <c r="L96" s="3"/>
      <c r="M96" s="11">
        <v>165</v>
      </c>
      <c r="N96" s="48" t="str">
        <f>IF(Mängud!E66="","",Mängud!E66)</f>
        <v>Keit Reinsalu</v>
      </c>
      <c r="O96" s="48"/>
      <c r="P96" s="48"/>
      <c r="Q96" s="3"/>
      <c r="R96" s="3"/>
      <c r="S96" s="3"/>
      <c r="T96" s="3"/>
    </row>
    <row r="97" spans="1:20" ht="12.75">
      <c r="A97" s="3"/>
      <c r="B97" s="3"/>
      <c r="C97" s="3"/>
      <c r="D97" s="8">
        <v>130</v>
      </c>
      <c r="E97" s="50" t="str">
        <f>IF(Mängud!E31="","",Mängud!E31)</f>
        <v>Raivo Roots</v>
      </c>
      <c r="F97" s="50"/>
      <c r="G97" s="50"/>
      <c r="H97" s="9"/>
      <c r="I97" s="10" t="str">
        <f>IF(Mängud!F39="","",Mängud!F39)</f>
        <v>3:0</v>
      </c>
      <c r="J97" s="13"/>
      <c r="K97" s="14"/>
      <c r="L97" s="3"/>
      <c r="M97" s="11"/>
      <c r="N97" s="9"/>
      <c r="O97" s="10" t="str">
        <f>IF(Mängud!F66="","",Mängud!F66)</f>
        <v>3:0</v>
      </c>
      <c r="P97" s="8"/>
      <c r="Q97" s="3"/>
      <c r="R97" s="3"/>
      <c r="S97" s="3"/>
      <c r="T97" s="3"/>
    </row>
    <row r="98" spans="1:20" ht="12.75">
      <c r="A98" s="7">
        <v>-104</v>
      </c>
      <c r="B98" s="49" t="str">
        <f>IF(Plussring!E18="","",IF(Plussring!E18=Plussring!B17,Plussring!B19,Plussring!B17))</f>
        <v>Joosep Hansar</v>
      </c>
      <c r="C98" s="49"/>
      <c r="D98" s="49"/>
      <c r="E98" s="16"/>
      <c r="F98" s="10" t="str">
        <f>IF(Mängud!F31="","",Mängud!F31)</f>
        <v>3:0</v>
      </c>
      <c r="G98" s="3"/>
      <c r="H98" s="3"/>
      <c r="I98" s="3"/>
      <c r="J98" s="17">
        <v>-142</v>
      </c>
      <c r="K98" s="70" t="str">
        <f>IF(Plussring!K28="","",IF(Plussring!K28=Plussring!H24,Plussring!H32,Plussring!H24))</f>
        <v>Vladyslav Rybachok</v>
      </c>
      <c r="L98" s="70"/>
      <c r="M98" s="70"/>
      <c r="N98" s="3"/>
      <c r="O98" s="3"/>
      <c r="P98" s="11"/>
      <c r="Q98" s="3"/>
      <c r="R98" s="3"/>
      <c r="S98" s="3"/>
      <c r="T98" s="3"/>
    </row>
    <row r="99" spans="1:20" ht="12.75">
      <c r="A99" s="3"/>
      <c r="B99" s="3"/>
      <c r="C99" s="3"/>
      <c r="D99" s="7">
        <v>-122</v>
      </c>
      <c r="E99" s="49" t="str">
        <f>IF(Plussring!H48="","",IF(Plussring!H48=Plussring!E46,Plussring!E50,Plussring!E46))</f>
        <v>Kalju Kalda</v>
      </c>
      <c r="F99" s="49"/>
      <c r="G99" s="49"/>
      <c r="H99" s="3"/>
      <c r="I99" s="3"/>
      <c r="J99" s="3"/>
      <c r="K99" s="3"/>
      <c r="L99" s="3"/>
      <c r="M99" s="3"/>
      <c r="N99" s="3"/>
      <c r="O99" s="3"/>
      <c r="P99" s="11"/>
      <c r="Q99" s="3"/>
      <c r="R99" s="3"/>
      <c r="S99" s="3"/>
      <c r="T99" s="3"/>
    </row>
    <row r="100" spans="1:20" ht="12.75">
      <c r="A100" s="7">
        <v>-105</v>
      </c>
      <c r="B100" s="49" t="str">
        <f>IF(Plussring!E22="","",IF(Plussring!E22=Plussring!B21,Plussring!B23,Plussring!B21))</f>
        <v>Aivar Soo</v>
      </c>
      <c r="C100" s="49"/>
      <c r="D100" s="49"/>
      <c r="E100" s="3"/>
      <c r="F100" s="3"/>
      <c r="G100" s="8">
        <v>139</v>
      </c>
      <c r="H100" s="48" t="str">
        <f>IF(Mängud!E40="","",Mängud!E40)</f>
        <v>Kalju Kalda</v>
      </c>
      <c r="I100" s="48"/>
      <c r="J100" s="48"/>
      <c r="K100" s="3"/>
      <c r="L100" s="3"/>
      <c r="M100" s="3"/>
      <c r="N100" s="3"/>
      <c r="O100" s="3"/>
      <c r="P100" s="11">
        <v>174</v>
      </c>
      <c r="Q100" s="48" t="str">
        <f>IF(Mängud!E75="","",Mängud!E75)</f>
        <v>Keit Reinsalu</v>
      </c>
      <c r="R100" s="48"/>
      <c r="S100" s="48"/>
      <c r="T100" s="7"/>
    </row>
    <row r="101" spans="1:20" ht="12.75">
      <c r="A101" s="3"/>
      <c r="B101" s="3"/>
      <c r="C101" s="3"/>
      <c r="D101" s="8">
        <v>131</v>
      </c>
      <c r="E101" s="50" t="str">
        <f>IF(Mängud!E32="","",Mängud!E32)</f>
        <v>Arvi Merigan</v>
      </c>
      <c r="F101" s="50"/>
      <c r="G101" s="50"/>
      <c r="H101" s="9"/>
      <c r="I101" s="10" t="str">
        <f>IF(Mängud!F40="","",Mängud!F40)</f>
        <v>3:0</v>
      </c>
      <c r="J101" s="8"/>
      <c r="K101" s="3"/>
      <c r="L101" s="3"/>
      <c r="M101" s="3"/>
      <c r="N101" s="3"/>
      <c r="O101" s="3"/>
      <c r="P101" s="11"/>
      <c r="Q101" s="9"/>
      <c r="R101" s="10" t="str">
        <f>IF(Mängud!F75="","",Mängud!F75)</f>
        <v>3:0</v>
      </c>
      <c r="S101" s="3"/>
      <c r="T101" s="3"/>
    </row>
    <row r="102" spans="1:20" ht="12.75">
      <c r="A102" s="7">
        <v>-106</v>
      </c>
      <c r="B102" s="49" t="str">
        <f>IF(Plussring!E26="","",IF(Plussring!E26=Plussring!B25,Plussring!B27,Plussring!B25))</f>
        <v>Arvi Merigan</v>
      </c>
      <c r="C102" s="49"/>
      <c r="D102" s="49"/>
      <c r="E102" s="16"/>
      <c r="F102" s="10" t="str">
        <f>IF(Mängud!F32="","",Mängud!F32)</f>
        <v>3:1</v>
      </c>
      <c r="G102" s="3"/>
      <c r="H102" s="3"/>
      <c r="I102" s="3"/>
      <c r="J102" s="11">
        <v>152</v>
      </c>
      <c r="K102" s="48" t="str">
        <f>IF(Mängud!E53="","",Mängud!E53)</f>
        <v>Ain Raid</v>
      </c>
      <c r="L102" s="48"/>
      <c r="M102" s="48"/>
      <c r="N102" s="3"/>
      <c r="O102" s="3"/>
      <c r="P102" s="11"/>
      <c r="Q102" s="3"/>
      <c r="R102" s="3"/>
      <c r="S102" s="3"/>
      <c r="T102" s="3"/>
    </row>
    <row r="103" spans="1:20" ht="12.75">
      <c r="A103" s="3"/>
      <c r="B103" s="3"/>
      <c r="C103" s="3"/>
      <c r="D103" s="7">
        <v>-121</v>
      </c>
      <c r="E103" s="49" t="str">
        <f>IF(Plussring!H40="","",IF(Plussring!H40=Plussring!E38,Plussring!E42,Plussring!E38))</f>
        <v>Ain Raid</v>
      </c>
      <c r="F103" s="49"/>
      <c r="G103" s="49"/>
      <c r="H103" s="3"/>
      <c r="I103" s="3"/>
      <c r="J103" s="11"/>
      <c r="K103" s="9"/>
      <c r="L103" s="10" t="str">
        <f>IF(Mängud!F74="","",Mängud!F74)</f>
        <v>3:0</v>
      </c>
      <c r="M103" s="8"/>
      <c r="N103" s="3"/>
      <c r="O103" s="3"/>
      <c r="P103" s="11"/>
      <c r="Q103" s="3"/>
      <c r="R103" s="3"/>
      <c r="S103" s="3"/>
      <c r="T103" s="3"/>
    </row>
    <row r="104" spans="1:20" ht="12.75">
      <c r="A104" s="7">
        <v>-107</v>
      </c>
      <c r="B104" s="49" t="str">
        <f>IF(Plussring!E30="","",IF(Plussring!E30=Plussring!B29,Plussring!B31,Plussring!B29))</f>
        <v>Alex Rahuoja</v>
      </c>
      <c r="C104" s="49"/>
      <c r="D104" s="49"/>
      <c r="E104" s="3"/>
      <c r="F104" s="3"/>
      <c r="G104" s="8">
        <v>140</v>
      </c>
      <c r="H104" s="50" t="str">
        <f>IF(Mängud!E41="","",Mängud!E41)</f>
        <v>Ain Raid</v>
      </c>
      <c r="I104" s="50"/>
      <c r="J104" s="50"/>
      <c r="K104" s="3"/>
      <c r="L104" s="3"/>
      <c r="M104" s="11">
        <v>166</v>
      </c>
      <c r="N104" s="50" t="str">
        <f>IF(Mängud!E67="","",Mängud!E67)</f>
        <v>Veiko Ristissaar</v>
      </c>
      <c r="O104" s="50"/>
      <c r="P104" s="50"/>
      <c r="Q104" s="12"/>
      <c r="R104" s="3"/>
      <c r="S104" s="3"/>
      <c r="T104" s="3"/>
    </row>
    <row r="105" spans="1:20" ht="12.75">
      <c r="A105" s="3"/>
      <c r="B105" s="3"/>
      <c r="C105" s="3"/>
      <c r="D105" s="8">
        <v>132</v>
      </c>
      <c r="E105" s="50" t="str">
        <f>IF(Mängud!E33="","",Mängud!E33)</f>
        <v>Alex Rahuoja</v>
      </c>
      <c r="F105" s="50"/>
      <c r="G105" s="50"/>
      <c r="H105" s="9"/>
      <c r="I105" s="10" t="str">
        <f>IF(Mängud!F41="","",Mängud!F41)</f>
        <v>3:2</v>
      </c>
      <c r="J105" s="13"/>
      <c r="K105" s="14"/>
      <c r="L105" s="3"/>
      <c r="M105" s="14"/>
      <c r="N105" s="18"/>
      <c r="O105" s="10" t="str">
        <f>IF(Mängud!F88="","",Mängud!F88)</f>
        <v>3:1</v>
      </c>
      <c r="P105" s="14"/>
      <c r="Q105" s="14"/>
      <c r="R105" s="3"/>
      <c r="S105" s="3"/>
      <c r="T105" s="3"/>
    </row>
    <row r="106" spans="1:20" ht="12.75">
      <c r="A106" s="7">
        <v>-108</v>
      </c>
      <c r="B106" s="49" t="str">
        <f>IF(Plussring!E34="","",IF(Plussring!E34=Plussring!B33,Plussring!B35,Plussring!B33))</f>
        <v>Taivo Koitla</v>
      </c>
      <c r="C106" s="49"/>
      <c r="D106" s="49"/>
      <c r="E106" s="16"/>
      <c r="F106" s="10" t="str">
        <f>IF(Mängud!F33="","",Mängud!F33)</f>
        <v>3:0</v>
      </c>
      <c r="G106" s="3"/>
      <c r="H106" s="3"/>
      <c r="I106" s="3"/>
      <c r="J106" s="7">
        <v>-141</v>
      </c>
      <c r="K106" s="70" t="str">
        <f>IF(Plussring!K12="","",IF(Plussring!K12=Plussring!H8,Plussring!H16,Plussring!H8))</f>
        <v>Veiko Ristissaar</v>
      </c>
      <c r="L106" s="70"/>
      <c r="M106" s="70"/>
      <c r="N106" s="3"/>
      <c r="O106" s="3"/>
      <c r="P106" s="3"/>
      <c r="Q106" s="3"/>
      <c r="R106" s="3"/>
      <c r="S106" s="3"/>
      <c r="T106" s="3"/>
    </row>
    <row r="107" spans="1:20" ht="12.75">
      <c r="A107" s="3"/>
      <c r="B107" s="14"/>
      <c r="C107" s="14"/>
      <c r="D107" s="14"/>
      <c r="E107" s="3"/>
      <c r="F107" s="3"/>
      <c r="G107" s="3"/>
      <c r="H107" s="3"/>
      <c r="I107" s="3"/>
      <c r="J107" s="3"/>
      <c r="K107" s="14"/>
      <c r="L107" s="14"/>
      <c r="M107" s="14"/>
      <c r="N107" s="3"/>
      <c r="O107" s="3"/>
      <c r="P107" s="3"/>
      <c r="Q107" s="3"/>
      <c r="R107" s="3"/>
      <c r="S107" s="3"/>
      <c r="T107" s="3"/>
    </row>
    <row r="108" spans="1:12" ht="12.75">
      <c r="A108" s="7">
        <v>-157</v>
      </c>
      <c r="B108" s="49" t="str">
        <f>IF(Plussring!N20="","",IF(Plussring!N20=Plussring!K12,Plussring!K28,Plussring!K12))</f>
        <v>Urmas Sinisalu</v>
      </c>
      <c r="C108" s="49"/>
      <c r="D108" s="49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3"/>
      <c r="B109" s="3"/>
      <c r="C109" s="3"/>
      <c r="D109" s="8">
        <v>183</v>
      </c>
      <c r="E109" s="48" t="str">
        <f>IF(Mängud!E84="","",Mängud!E84)</f>
        <v>Andres Somer</v>
      </c>
      <c r="F109" s="48"/>
      <c r="G109" s="48"/>
      <c r="H109" s="3"/>
      <c r="I109" s="3"/>
      <c r="J109" s="3"/>
      <c r="K109" s="3"/>
      <c r="L109" s="3"/>
    </row>
    <row r="110" spans="1:12" ht="12.75">
      <c r="A110" s="7">
        <v>173</v>
      </c>
      <c r="B110" s="70" t="str">
        <f>IF(Q84="","",Q84)</f>
        <v>Andres Somer</v>
      </c>
      <c r="C110" s="70"/>
      <c r="D110" s="70"/>
      <c r="E110" s="9"/>
      <c r="F110" s="10" t="str">
        <f>IF(Mängud!F84="","",Mängud!F84)</f>
        <v>3:1</v>
      </c>
      <c r="G110" s="8"/>
      <c r="H110" s="3"/>
      <c r="I110" s="3"/>
      <c r="J110" s="3"/>
      <c r="K110" s="3"/>
      <c r="L110" s="3"/>
    </row>
    <row r="111" spans="1:12" ht="12.75">
      <c r="A111" s="3"/>
      <c r="B111" s="3"/>
      <c r="C111" s="3"/>
      <c r="D111" s="3"/>
      <c r="E111" s="3"/>
      <c r="F111" s="3"/>
      <c r="G111" s="11">
        <v>194</v>
      </c>
      <c r="H111" s="48" t="str">
        <f>IF(Mängud!E95="","",Mängud!E95)</f>
        <v>Allan Salla</v>
      </c>
      <c r="I111" s="48"/>
      <c r="J111" s="48"/>
      <c r="K111" s="7" t="s">
        <v>12</v>
      </c>
      <c r="L111" s="3"/>
    </row>
    <row r="112" spans="1:12" ht="12.75">
      <c r="A112" s="7">
        <v>-158</v>
      </c>
      <c r="B112" s="49" t="str">
        <f>IF(Plussring!N52="","",IF(Plussring!N52=Plussring!K44,Plussring!K60,Plussring!K44))</f>
        <v>Allan Salla</v>
      </c>
      <c r="C112" s="49"/>
      <c r="D112" s="49"/>
      <c r="E112" s="3"/>
      <c r="F112" s="3"/>
      <c r="G112" s="11"/>
      <c r="H112" s="9"/>
      <c r="I112" s="10" t="str">
        <f>IF(Mängud!F95="","",Mängud!F95)</f>
        <v>3:1</v>
      </c>
      <c r="J112" s="3"/>
      <c r="K112" s="3"/>
      <c r="L112" s="3"/>
    </row>
    <row r="113" spans="1:12" ht="12.75">
      <c r="A113" s="3"/>
      <c r="B113" s="3"/>
      <c r="C113" s="3"/>
      <c r="D113" s="8">
        <v>184</v>
      </c>
      <c r="E113" s="48" t="str">
        <f>IF(Mängud!E85="","",Mängud!E85)</f>
        <v>Allan Salla</v>
      </c>
      <c r="F113" s="48"/>
      <c r="G113" s="48"/>
      <c r="H113" s="12"/>
      <c r="I113" s="3"/>
      <c r="J113" s="3"/>
      <c r="K113" s="3"/>
      <c r="L113" s="3"/>
    </row>
    <row r="114" spans="1:12" ht="12.75">
      <c r="A114" s="7">
        <v>174</v>
      </c>
      <c r="B114" s="70" t="str">
        <f>IF(Q100="","",Q100)</f>
        <v>Keit Reinsalu</v>
      </c>
      <c r="C114" s="70"/>
      <c r="D114" s="70"/>
      <c r="E114" s="9"/>
      <c r="F114" s="10" t="str">
        <f>IF(Mängud!F85="","",Mängud!F85)</f>
        <v>3:1</v>
      </c>
      <c r="G114" s="13"/>
      <c r="H114" s="14"/>
      <c r="I114" s="3"/>
      <c r="J114" s="3"/>
      <c r="K114" s="3"/>
      <c r="L114" s="3"/>
    </row>
    <row r="115" spans="1:12" ht="12.75">
      <c r="A115" s="3"/>
      <c r="B115" s="3"/>
      <c r="C115" s="3"/>
      <c r="D115" s="3"/>
      <c r="E115" s="3"/>
      <c r="F115" s="3"/>
      <c r="G115" s="7">
        <v>-194</v>
      </c>
      <c r="H115" s="49" t="str">
        <f>IF(H111="","",IF(H111=E109,E113,E109))</f>
        <v>Andres Somer</v>
      </c>
      <c r="I115" s="49"/>
      <c r="J115" s="49"/>
      <c r="K115" s="7" t="s">
        <v>14</v>
      </c>
      <c r="L115" s="3"/>
    </row>
    <row r="116" spans="12:20" ht="12.75">
      <c r="L116" s="3"/>
      <c r="M116" s="7">
        <v>-183</v>
      </c>
      <c r="N116" s="49" t="str">
        <f>IF(E109="","",IF(E109=B108,B110,B108))</f>
        <v>Urmas Sinisalu</v>
      </c>
      <c r="O116" s="49"/>
      <c r="P116" s="49"/>
      <c r="Q116" s="3"/>
      <c r="R116" s="3"/>
      <c r="S116" s="3"/>
      <c r="T116" s="3"/>
    </row>
    <row r="117" spans="12:20" ht="12.75">
      <c r="L117" s="3"/>
      <c r="M117" s="3"/>
      <c r="N117" s="3"/>
      <c r="O117" s="3"/>
      <c r="P117" s="8">
        <v>193</v>
      </c>
      <c r="Q117" s="48" t="str">
        <f>IF(Mängud!E94="","",Mängud!E94)</f>
        <v>Urmas Sinisalu</v>
      </c>
      <c r="R117" s="49"/>
      <c r="S117" s="49"/>
      <c r="T117" s="7" t="s">
        <v>11</v>
      </c>
    </row>
    <row r="118" spans="12:20" ht="12.75">
      <c r="L118" s="3"/>
      <c r="M118" s="7">
        <v>-184</v>
      </c>
      <c r="N118" s="49" t="str">
        <f>IF(E113="","",IF(E113=B112,B114,B112))</f>
        <v>Keit Reinsalu</v>
      </c>
      <c r="O118" s="49"/>
      <c r="P118" s="70"/>
      <c r="Q118" s="19"/>
      <c r="R118" s="10" t="str">
        <f>IF(Mängud!F94="","",Mängud!F94)</f>
        <v>3:1</v>
      </c>
      <c r="S118" s="3"/>
      <c r="T118" s="3"/>
    </row>
    <row r="119" spans="12:20" ht="12.75">
      <c r="L119" s="3"/>
      <c r="M119" s="3"/>
      <c r="N119" s="3"/>
      <c r="O119" s="3"/>
      <c r="P119" s="3"/>
      <c r="Q119" s="3"/>
      <c r="R119" s="3"/>
      <c r="S119" s="3"/>
      <c r="T119" s="3"/>
    </row>
    <row r="120" spans="12:20" ht="12.75">
      <c r="L120" s="3"/>
      <c r="M120" s="3"/>
      <c r="N120" s="3"/>
      <c r="O120" s="3"/>
      <c r="P120" s="7">
        <v>-193</v>
      </c>
      <c r="Q120" s="49" t="str">
        <f>IF(Q117="","",IF(Q117=N116,N118,N116))</f>
        <v>Keit Reinsalu</v>
      </c>
      <c r="R120" s="49"/>
      <c r="S120" s="49"/>
      <c r="T120" s="7" t="s">
        <v>13</v>
      </c>
    </row>
    <row r="121" ht="12.75">
      <c r="L121" s="3"/>
    </row>
    <row r="122" spans="12:20" ht="12.75">
      <c r="L122" s="3"/>
      <c r="M122" s="7">
        <v>-173</v>
      </c>
      <c r="N122" s="49" t="str">
        <f>IF(Q84="","",IF(Q84=N80,N88,N80))</f>
        <v>Jimmy Lindborg</v>
      </c>
      <c r="O122" s="49"/>
      <c r="P122" s="49"/>
      <c r="Q122" s="3"/>
      <c r="R122" s="3"/>
      <c r="S122" s="3"/>
      <c r="T122" s="3"/>
    </row>
    <row r="123" spans="12:20" ht="12.75">
      <c r="L123" s="3"/>
      <c r="M123" s="3"/>
      <c r="N123" s="3"/>
      <c r="O123" s="3"/>
      <c r="P123" s="8">
        <v>192</v>
      </c>
      <c r="Q123" s="48" t="str">
        <f>IF(Mängud!E93="","",Mängud!E93)</f>
        <v>Veiko Ristissaar</v>
      </c>
      <c r="R123" s="49"/>
      <c r="S123" s="49"/>
      <c r="T123" s="7" t="s">
        <v>15</v>
      </c>
    </row>
    <row r="124" spans="1:20" ht="12.75">
      <c r="A124" s="7">
        <v>-163</v>
      </c>
      <c r="B124" s="49" t="str">
        <f>IF(N80="","",IF(N80=K78,K82,K78))</f>
        <v>Imre Korsen</v>
      </c>
      <c r="C124" s="49"/>
      <c r="D124" s="49"/>
      <c r="E124" s="3"/>
      <c r="F124" s="3"/>
      <c r="G124" s="3"/>
      <c r="H124" s="3"/>
      <c r="I124" s="3"/>
      <c r="J124" s="3"/>
      <c r="K124" s="3"/>
      <c r="L124" s="3"/>
      <c r="M124" s="7">
        <v>-174</v>
      </c>
      <c r="N124" s="49" t="str">
        <f>IF(Q100="","",IF(Q100=N96,N104,N96))</f>
        <v>Veiko Ristissaar</v>
      </c>
      <c r="O124" s="49"/>
      <c r="P124" s="70"/>
      <c r="Q124" s="19"/>
      <c r="R124" s="10" t="str">
        <f>IF(Mängud!F93="","",Mängud!F93)</f>
        <v>3:1</v>
      </c>
      <c r="S124" s="3"/>
      <c r="T124" s="3"/>
    </row>
    <row r="125" spans="1:20" ht="12.75">
      <c r="A125" s="3"/>
      <c r="B125" s="3"/>
      <c r="C125" s="3"/>
      <c r="D125" s="8">
        <v>175</v>
      </c>
      <c r="E125" s="48" t="str">
        <f>IF(Mängud!E76="","",Mängud!E76)</f>
        <v>Imre Korsen</v>
      </c>
      <c r="F125" s="49"/>
      <c r="G125" s="49"/>
      <c r="H125" s="1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2.75">
      <c r="A126" s="7">
        <v>-164</v>
      </c>
      <c r="B126" s="49" t="str">
        <f>IF(N88="","",IF(N88=K86,K90,K86))</f>
        <v>Eduard Virkunen</v>
      </c>
      <c r="C126" s="49"/>
      <c r="D126" s="70"/>
      <c r="E126" s="16"/>
      <c r="F126" s="10" t="str">
        <f>IF(Mängud!F76="","",Mängud!F76)</f>
        <v>3:2</v>
      </c>
      <c r="G126" s="3"/>
      <c r="H126" s="12"/>
      <c r="I126" s="3"/>
      <c r="J126" s="3"/>
      <c r="K126" s="3"/>
      <c r="L126" s="3"/>
      <c r="M126" s="3"/>
      <c r="N126" s="3"/>
      <c r="O126" s="3"/>
      <c r="P126" s="7">
        <v>-192</v>
      </c>
      <c r="Q126" s="49" t="str">
        <f>IF(Q123="","",IF(Q123=N122,N124,N122))</f>
        <v>Jimmy Lindborg</v>
      </c>
      <c r="R126" s="49"/>
      <c r="S126" s="49"/>
      <c r="T126" s="7" t="s">
        <v>16</v>
      </c>
    </row>
    <row r="127" spans="1:12" ht="12.75">
      <c r="A127" s="3"/>
      <c r="B127" s="3"/>
      <c r="C127" s="3"/>
      <c r="D127" s="3"/>
      <c r="E127" s="3"/>
      <c r="F127" s="3"/>
      <c r="G127" s="11">
        <v>191</v>
      </c>
      <c r="H127" s="48" t="str">
        <f>IF(Mängud!E92="","",Mängud!E92)</f>
        <v>Vladyslav Rybachok</v>
      </c>
      <c r="I127" s="49"/>
      <c r="J127" s="49"/>
      <c r="K127" s="7" t="s">
        <v>17</v>
      </c>
      <c r="L127" s="3"/>
    </row>
    <row r="128" spans="1:12" ht="12.75">
      <c r="A128" s="7">
        <v>-165</v>
      </c>
      <c r="B128" s="49" t="str">
        <f>IF(N96="","",IF(N96=K94,K98,K94))</f>
        <v>Vladyslav Rybachok</v>
      </c>
      <c r="C128" s="49"/>
      <c r="D128" s="49"/>
      <c r="E128" s="3"/>
      <c r="F128" s="3"/>
      <c r="G128" s="11"/>
      <c r="H128" s="9"/>
      <c r="I128" s="10" t="str">
        <f>IF(Mängud!F92="","",Mängud!F92)</f>
        <v>3:2</v>
      </c>
      <c r="J128" s="3"/>
      <c r="K128" s="3"/>
      <c r="L128" s="3"/>
    </row>
    <row r="129" spans="1:20" ht="12.75">
      <c r="A129" s="3"/>
      <c r="B129" s="3"/>
      <c r="C129" s="3"/>
      <c r="D129" s="8">
        <v>176</v>
      </c>
      <c r="E129" s="48" t="str">
        <f>IF(Mängud!E77="","",Mängud!E77)</f>
        <v>Vladyslav Rybachok</v>
      </c>
      <c r="F129" s="49"/>
      <c r="G129" s="70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12" ht="12.75">
      <c r="A130" s="7">
        <v>-166</v>
      </c>
      <c r="B130" s="49" t="str">
        <f>IF(N104="","",IF(N104=K102,K106,K102))</f>
        <v>Ain Raid</v>
      </c>
      <c r="C130" s="49"/>
      <c r="D130" s="70"/>
      <c r="E130" s="9"/>
      <c r="F130" s="10" t="str">
        <f>IF(Mängud!F77="","",Mängud!F77)</f>
        <v>3:1</v>
      </c>
      <c r="G130" s="3"/>
      <c r="H130" s="3"/>
      <c r="I130" s="3"/>
      <c r="J130" s="3"/>
      <c r="K130" s="3"/>
      <c r="L130" s="3"/>
    </row>
    <row r="131" spans="1:20" ht="12.75">
      <c r="A131" s="3"/>
      <c r="B131" s="3"/>
      <c r="C131" s="3"/>
      <c r="D131" s="3"/>
      <c r="E131" s="3"/>
      <c r="F131" s="3"/>
      <c r="G131" s="7">
        <v>-191</v>
      </c>
      <c r="H131" s="49" t="str">
        <f>IF(H127="","",IF(H127=E125,E129,E125))</f>
        <v>Imre Korsen</v>
      </c>
      <c r="I131" s="49"/>
      <c r="J131" s="49"/>
      <c r="K131" s="7" t="s">
        <v>19</v>
      </c>
      <c r="L131" s="3"/>
      <c r="M131" s="7">
        <v>-175</v>
      </c>
      <c r="N131" s="49" t="str">
        <f>IF(E125="","",IF(E125=B124,B126,B124))</f>
        <v>Eduard Virkunen</v>
      </c>
      <c r="O131" s="49"/>
      <c r="P131" s="49"/>
      <c r="Q131" s="3"/>
      <c r="R131" s="3"/>
      <c r="S131" s="3"/>
      <c r="T131" s="3"/>
    </row>
    <row r="132" spans="12:20" ht="12.75">
      <c r="L132" s="3"/>
      <c r="M132" s="3"/>
      <c r="N132" s="3"/>
      <c r="O132" s="3"/>
      <c r="P132" s="8">
        <v>190</v>
      </c>
      <c r="Q132" s="48" t="str">
        <f>IF(Mängud!E91="","",Mängud!E91)</f>
        <v>Ain Raid</v>
      </c>
      <c r="R132" s="49"/>
      <c r="S132" s="49"/>
      <c r="T132" s="7" t="s">
        <v>18</v>
      </c>
    </row>
    <row r="133" spans="1:20" ht="12.75">
      <c r="A133" s="7">
        <v>-149</v>
      </c>
      <c r="B133" s="49" t="str">
        <f>IF(K78="","",IF(K78=H76,H80,H76))</f>
        <v>Tõnu Hansar</v>
      </c>
      <c r="C133" s="49"/>
      <c r="D133" s="49"/>
      <c r="E133" s="3"/>
      <c r="F133" s="3"/>
      <c r="G133" s="3"/>
      <c r="H133" s="3"/>
      <c r="I133" s="3"/>
      <c r="J133" s="3"/>
      <c r="K133" s="3"/>
      <c r="L133" s="3"/>
      <c r="M133" s="7">
        <v>-176</v>
      </c>
      <c r="N133" s="49" t="str">
        <f>IF(E129="","",IF(E129=B128,B130,B128))</f>
        <v>Ain Raid</v>
      </c>
      <c r="O133" s="49"/>
      <c r="P133" s="70"/>
      <c r="Q133" s="19"/>
      <c r="R133" s="10" t="str">
        <f>IF(Mängud!F91="","",Mängud!F91)</f>
        <v>3:1</v>
      </c>
      <c r="S133" s="3"/>
      <c r="T133" s="3"/>
    </row>
    <row r="134" spans="1:20" ht="12.75">
      <c r="A134" s="3"/>
      <c r="B134" s="3"/>
      <c r="C134" s="3"/>
      <c r="D134" s="8">
        <v>171</v>
      </c>
      <c r="E134" s="48" t="str">
        <f>IF(Mängud!E72="","",Mängud!E72)</f>
        <v>Heikki Sool</v>
      </c>
      <c r="F134" s="49"/>
      <c r="G134" s="49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2.75">
      <c r="A135" s="7">
        <v>-150</v>
      </c>
      <c r="B135" s="49" t="str">
        <f>IF(K86="","",IF(K86=H84,H88,H84))</f>
        <v>Heikki Sool</v>
      </c>
      <c r="C135" s="49"/>
      <c r="D135" s="70"/>
      <c r="E135" s="16"/>
      <c r="F135" s="10" t="str">
        <f>IF(Mängud!F72="","",Mängud!F72)</f>
        <v>3:0</v>
      </c>
      <c r="G135" s="8"/>
      <c r="H135" s="3"/>
      <c r="I135" s="3"/>
      <c r="J135" s="3"/>
      <c r="K135" s="3"/>
      <c r="L135" s="3"/>
      <c r="M135" s="3"/>
      <c r="N135" s="3"/>
      <c r="O135" s="3"/>
      <c r="P135" s="7">
        <v>-190</v>
      </c>
      <c r="Q135" s="49" t="str">
        <f>IF(Q132="","",IF(Q132=N131,N133,N131))</f>
        <v>Eduard Virkunen</v>
      </c>
      <c r="R135" s="49"/>
      <c r="S135" s="49"/>
      <c r="T135" s="7" t="s">
        <v>20</v>
      </c>
    </row>
    <row r="136" spans="1:20" ht="12.75">
      <c r="A136" s="3"/>
      <c r="B136" s="3"/>
      <c r="C136" s="3"/>
      <c r="D136" s="3"/>
      <c r="E136" s="3"/>
      <c r="F136" s="3"/>
      <c r="G136" s="11">
        <v>189</v>
      </c>
      <c r="H136" s="48" t="str">
        <f>IF(Mängud!E90="","",Mängud!E90)</f>
        <v>Kalju Kalda</v>
      </c>
      <c r="I136" s="49"/>
      <c r="J136" s="49"/>
      <c r="K136" s="7" t="s">
        <v>21</v>
      </c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2.75">
      <c r="A137" s="7">
        <v>-151</v>
      </c>
      <c r="B137" s="49" t="str">
        <f>IF(K94="","",IF(K94=H92,H96,H92))</f>
        <v>Marko Perendi</v>
      </c>
      <c r="C137" s="49"/>
      <c r="D137" s="49"/>
      <c r="E137" s="3"/>
      <c r="F137" s="3"/>
      <c r="G137" s="11"/>
      <c r="H137" s="9"/>
      <c r="I137" s="10" t="str">
        <f>IF(Mängud!F90="","",Mängud!F90)</f>
        <v>3:2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12" ht="12.75">
      <c r="A138" s="3"/>
      <c r="B138" s="3"/>
      <c r="C138" s="3"/>
      <c r="D138" s="8">
        <v>172</v>
      </c>
      <c r="E138" s="48" t="str">
        <f>IF(Mängud!E73="","",Mängud!E73)</f>
        <v>Kalju Kalda</v>
      </c>
      <c r="F138" s="49"/>
      <c r="G138" s="70"/>
      <c r="H138" s="12"/>
      <c r="I138" s="3"/>
      <c r="J138" s="3"/>
      <c r="K138" s="3"/>
      <c r="L138" s="3"/>
    </row>
    <row r="139" spans="1:12" ht="12.75">
      <c r="A139" s="7">
        <v>-152</v>
      </c>
      <c r="B139" s="49" t="str">
        <f>IF(K102="","",IF(K102=H100,H104,H100))</f>
        <v>Kalju Kalda</v>
      </c>
      <c r="C139" s="49"/>
      <c r="D139" s="70"/>
      <c r="E139" s="16"/>
      <c r="F139" s="10" t="str">
        <f>IF(Mängud!F73="","",Mängud!F73)</f>
        <v>3:0</v>
      </c>
      <c r="G139" s="13"/>
      <c r="H139" s="14"/>
      <c r="I139" s="3"/>
      <c r="J139" s="3"/>
      <c r="K139" s="3"/>
      <c r="L139" s="3"/>
    </row>
    <row r="140" spans="1:20" ht="12.75">
      <c r="A140" s="3"/>
      <c r="B140" s="3"/>
      <c r="C140" s="3"/>
      <c r="D140" s="3"/>
      <c r="E140" s="3"/>
      <c r="F140" s="3"/>
      <c r="G140" s="7">
        <v>-189</v>
      </c>
      <c r="H140" s="49" t="str">
        <f>IF(H136="","",IF(H136=E134,E138,E134))</f>
        <v>Heikki Sool</v>
      </c>
      <c r="I140" s="49"/>
      <c r="J140" s="49"/>
      <c r="K140" s="7" t="s">
        <v>23</v>
      </c>
      <c r="L140" s="3"/>
      <c r="M140" s="7">
        <v>-171</v>
      </c>
      <c r="N140" s="49" t="str">
        <f>IF(E134="","",IF(E134=B133,B135,B133))</f>
        <v>Tõnu Hansar</v>
      </c>
      <c r="O140" s="49"/>
      <c r="P140" s="49"/>
      <c r="Q140" s="3"/>
      <c r="R140" s="3"/>
      <c r="S140" s="3"/>
      <c r="T140" s="3"/>
    </row>
    <row r="141" spans="1:2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8">
        <v>188</v>
      </c>
      <c r="Q141" s="48" t="str">
        <f>IF(Mängud!E89="","",Mängud!E89)</f>
        <v>Marko Perendi</v>
      </c>
      <c r="R141" s="49"/>
      <c r="S141" s="49"/>
      <c r="T141" s="7" t="s">
        <v>22</v>
      </c>
    </row>
    <row r="142" spans="1:2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7">
        <v>-172</v>
      </c>
      <c r="N142" s="49" t="str">
        <f>IF(E138="","",IF(E138=B137,B139,B137))</f>
        <v>Marko Perendi</v>
      </c>
      <c r="O142" s="49"/>
      <c r="P142" s="70"/>
      <c r="Q142" s="9"/>
      <c r="R142" s="10" t="str">
        <f>IF(Mängud!F89="","",Mängud!F89)</f>
        <v>3:2</v>
      </c>
      <c r="S142" s="3"/>
      <c r="T142" s="3"/>
    </row>
    <row r="143" spans="1:2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7">
        <v>-188</v>
      </c>
      <c r="Q144" s="49" t="str">
        <f>IF(Q141="","",IF(Q141=N140,N142,N140))</f>
        <v>Tõnu Hansar</v>
      </c>
      <c r="R144" s="49"/>
      <c r="S144" s="49"/>
      <c r="T144" s="7" t="s">
        <v>24</v>
      </c>
    </row>
    <row r="145" spans="1:2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7"/>
      <c r="Q145" s="36"/>
      <c r="R145" s="36"/>
      <c r="S145" s="36"/>
      <c r="T145" s="7"/>
    </row>
    <row r="146" spans="1:2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7"/>
      <c r="Q146" s="36"/>
      <c r="R146" s="36"/>
      <c r="S146" s="36"/>
      <c r="T146" s="7"/>
    </row>
    <row r="147" spans="1:20" ht="12.75">
      <c r="A147" s="52" t="s">
        <v>103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</row>
    <row r="148" spans="1:20" ht="12.75">
      <c r="A148" s="7">
        <v>-133</v>
      </c>
      <c r="B148" s="49" t="str">
        <f>IF('Kohad_3-16'!H3="","",IF('Kohad_3-16'!H3='Kohad_3-16'!E2,'Kohad_3-16'!E4,'Kohad_3-16'!E2))</f>
        <v>Taavi Miku</v>
      </c>
      <c r="C148" s="49"/>
      <c r="D148" s="49"/>
      <c r="E148" s="3"/>
      <c r="F148" s="3"/>
      <c r="G148" s="3"/>
      <c r="H148" s="3"/>
      <c r="I148" s="3"/>
      <c r="J148" s="3"/>
      <c r="O148" s="3"/>
      <c r="P148" s="3"/>
      <c r="Q148" s="3"/>
      <c r="R148" s="3"/>
      <c r="S148" s="3"/>
      <c r="T148" s="3"/>
    </row>
    <row r="149" spans="1:20" ht="12.75">
      <c r="A149" s="3"/>
      <c r="B149" s="3"/>
      <c r="C149" s="3"/>
      <c r="D149" s="8">
        <v>153</v>
      </c>
      <c r="E149" s="48" t="str">
        <f>IF(Mängud!E54="","",Mängud!E54)</f>
        <v>Reino Ristissaar</v>
      </c>
      <c r="F149" s="48"/>
      <c r="G149" s="48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2.75">
      <c r="A150" s="7">
        <v>-134</v>
      </c>
      <c r="B150" s="70" t="str">
        <f>IF('Kohad_3-16'!H7="","",IF('Kohad_3-16'!H7='Kohad_3-16'!E6,'Kohad_3-16'!E8,'Kohad_3-16'!E6))</f>
        <v>Reino Ristissaar</v>
      </c>
      <c r="C150" s="70"/>
      <c r="D150" s="70"/>
      <c r="E150" s="9"/>
      <c r="F150" s="10" t="str">
        <f>IF(Mängud!F54="","",Mängud!F54)</f>
        <v>3:0</v>
      </c>
      <c r="G150" s="8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2.75">
      <c r="A151" s="3"/>
      <c r="B151" s="3"/>
      <c r="C151" s="3"/>
      <c r="D151" s="3"/>
      <c r="E151" s="3"/>
      <c r="F151" s="3"/>
      <c r="G151" s="11">
        <v>169</v>
      </c>
      <c r="H151" s="48" t="str">
        <f>IF(Mängud!E70="","",Mängud!E70)</f>
        <v>Reino Ristissaar</v>
      </c>
      <c r="I151" s="48"/>
      <c r="J151" s="48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2.75">
      <c r="A152" s="7">
        <v>-135</v>
      </c>
      <c r="B152" s="49" t="str">
        <f>IF('Kohad_3-16'!H11="","",IF('Kohad_3-16'!H11='Kohad_3-16'!E10,'Kohad_3-16'!E12,'Kohad_3-16'!E10))</f>
        <v>Hannes Lepik</v>
      </c>
      <c r="C152" s="49"/>
      <c r="D152" s="49"/>
      <c r="E152" s="3"/>
      <c r="F152" s="3"/>
      <c r="G152" s="11"/>
      <c r="H152" s="9"/>
      <c r="I152" s="10" t="str">
        <f>IF(Mängud!F70="","",Mängud!F70)</f>
        <v>3:2</v>
      </c>
      <c r="J152" s="8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2.75">
      <c r="A153" s="3"/>
      <c r="B153" s="3"/>
      <c r="C153" s="3"/>
      <c r="D153" s="8">
        <v>154</v>
      </c>
      <c r="E153" s="48" t="str">
        <f>IF(Mängud!E55="","",Mängud!E55)</f>
        <v>Raigo Rommot</v>
      </c>
      <c r="F153" s="48"/>
      <c r="G153" s="48"/>
      <c r="H153" s="12"/>
      <c r="I153" s="3"/>
      <c r="J153" s="11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2.75">
      <c r="A154" s="7">
        <v>-136</v>
      </c>
      <c r="B154" s="49" t="str">
        <f>IF('Kohad_3-16'!H15="","",IF('Kohad_3-16'!H15='Kohad_3-16'!E14,'Kohad_3-16'!E16,'Kohad_3-16'!E14))</f>
        <v>Raigo Rommot</v>
      </c>
      <c r="C154" s="49"/>
      <c r="D154" s="49"/>
      <c r="E154" s="16"/>
      <c r="F154" s="10" t="str">
        <f>IF(Mängud!F55="","",Mängud!F55)</f>
        <v>3:0</v>
      </c>
      <c r="G154" s="13"/>
      <c r="H154" s="14"/>
      <c r="I154" s="3"/>
      <c r="J154" s="11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2.75">
      <c r="A155" s="3"/>
      <c r="B155" s="3"/>
      <c r="C155" s="3"/>
      <c r="D155" s="3"/>
      <c r="E155" s="3"/>
      <c r="F155" s="3"/>
      <c r="G155" s="3"/>
      <c r="H155" s="3"/>
      <c r="I155" s="3"/>
      <c r="J155" s="11">
        <v>187</v>
      </c>
      <c r="K155" s="48" t="str">
        <f>IF(Mängud!E88="","",Mängud!E88)</f>
        <v>Reino Ristissaar</v>
      </c>
      <c r="L155" s="48"/>
      <c r="M155" s="48"/>
      <c r="N155" s="7" t="s">
        <v>25</v>
      </c>
      <c r="O155" s="3"/>
      <c r="P155" s="3"/>
      <c r="Q155" s="3"/>
      <c r="R155" s="3"/>
      <c r="S155" s="3"/>
      <c r="T155" s="3"/>
    </row>
    <row r="156" spans="1:20" ht="12.75">
      <c r="A156" s="7">
        <v>-137</v>
      </c>
      <c r="B156" s="49" t="str">
        <f>IF('Kohad_3-16'!H19="","",IF('Kohad_3-16'!H19='Kohad_3-16'!E18,'Kohad_3-16'!E20,'Kohad_3-16'!E18))</f>
        <v>Kalle Kuuspalu</v>
      </c>
      <c r="C156" s="49"/>
      <c r="D156" s="49"/>
      <c r="E156" s="3"/>
      <c r="F156" s="3"/>
      <c r="G156" s="3"/>
      <c r="H156" s="3"/>
      <c r="I156" s="3"/>
      <c r="J156" s="11"/>
      <c r="K156" s="9"/>
      <c r="L156" s="10" t="str">
        <f>IF(Mängud!F88="","",Mängud!F88)</f>
        <v>3:1</v>
      </c>
      <c r="M156" s="3"/>
      <c r="N156" s="3"/>
      <c r="O156" s="3"/>
      <c r="P156" s="3"/>
      <c r="Q156" s="3"/>
      <c r="R156" s="3"/>
      <c r="S156" s="3"/>
      <c r="T156" s="3"/>
    </row>
    <row r="157" spans="1:20" ht="12.75">
      <c r="A157" s="3"/>
      <c r="B157" s="3"/>
      <c r="C157" s="3"/>
      <c r="D157" s="8">
        <v>155</v>
      </c>
      <c r="E157" s="48" t="str">
        <f>IF(Mängud!E56="","",Mängud!E56)</f>
        <v>Kalle Kuuspalu</v>
      </c>
      <c r="F157" s="48"/>
      <c r="G157" s="48"/>
      <c r="H157" s="3"/>
      <c r="I157" s="3"/>
      <c r="J157" s="11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2.75">
      <c r="A158" s="7">
        <v>-138</v>
      </c>
      <c r="B158" s="70" t="str">
        <f>IF('Kohad_3-16'!H23="","",IF('Kohad_3-16'!H23='Kohad_3-16'!E22,'Kohad_3-16'!E24,'Kohad_3-16'!E22))</f>
        <v>Raivo Roots</v>
      </c>
      <c r="C158" s="70"/>
      <c r="D158" s="70"/>
      <c r="E158" s="9"/>
      <c r="F158" s="10" t="str">
        <f>IF(Mängud!F56="","",Mängud!F56)</f>
        <v>3:0</v>
      </c>
      <c r="G158" s="8"/>
      <c r="H158" s="3"/>
      <c r="I158" s="3"/>
      <c r="J158" s="11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2.75">
      <c r="A159" s="3"/>
      <c r="B159" s="3"/>
      <c r="C159" s="3"/>
      <c r="D159" s="3"/>
      <c r="E159" s="3"/>
      <c r="F159" s="3"/>
      <c r="G159" s="11">
        <v>170</v>
      </c>
      <c r="H159" s="48" t="str">
        <f>IF(Mängud!E71="","",Mängud!E71)</f>
        <v>Kalle Kuuspalu</v>
      </c>
      <c r="I159" s="48"/>
      <c r="J159" s="48"/>
      <c r="K159" s="12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2.75">
      <c r="A160" s="7">
        <v>-139</v>
      </c>
      <c r="B160" s="49" t="str">
        <f>IF('Kohad_3-16'!H27="","",IF('Kohad_3-16'!H27='Kohad_3-16'!E26,'Kohad_3-16'!E28,'Kohad_3-16'!E26))</f>
        <v>Arvi Merigan</v>
      </c>
      <c r="C160" s="49"/>
      <c r="D160" s="49"/>
      <c r="E160" s="3"/>
      <c r="F160" s="3"/>
      <c r="G160" s="11"/>
      <c r="H160" s="9"/>
      <c r="I160" s="10" t="str">
        <f>IF(Mängud!F71="","",Mängud!F71)</f>
        <v>3:0</v>
      </c>
      <c r="J160" s="13"/>
      <c r="K160" s="14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2.75">
      <c r="A161" s="3"/>
      <c r="B161" s="3"/>
      <c r="C161" s="3"/>
      <c r="D161" s="8">
        <v>156</v>
      </c>
      <c r="E161" s="48" t="str">
        <f>IF(Mängud!E57="","",Mängud!E57)</f>
        <v>Arvi Merigan</v>
      </c>
      <c r="F161" s="48"/>
      <c r="G161" s="48"/>
      <c r="H161" s="1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2.75">
      <c r="A162" s="7">
        <v>-140</v>
      </c>
      <c r="B162" s="49" t="str">
        <f>IF('Kohad_3-16'!H31="","",IF('Kohad_3-16'!H31='Kohad_3-16'!E30,'Kohad_3-16'!E32,'Kohad_3-16'!E30))</f>
        <v>Alex Rahuoja</v>
      </c>
      <c r="C162" s="49"/>
      <c r="D162" s="49"/>
      <c r="E162" s="16"/>
      <c r="F162" s="10" t="str">
        <f>IF(Mängud!F57="","",Mängud!F57)</f>
        <v>3:0</v>
      </c>
      <c r="G162" s="13"/>
      <c r="H162" s="14"/>
      <c r="I162" s="3"/>
      <c r="J162" s="7">
        <v>-187</v>
      </c>
      <c r="K162" s="49" t="str">
        <f>IF(K155="","",IF(K155=H151,H159,H151))</f>
        <v>Kalle Kuuspalu</v>
      </c>
      <c r="L162" s="49"/>
      <c r="M162" s="49"/>
      <c r="N162" s="7" t="s">
        <v>26</v>
      </c>
      <c r="O162" s="3"/>
      <c r="P162" s="3"/>
      <c r="Q162" s="3"/>
      <c r="R162" s="3"/>
      <c r="S162" s="3"/>
      <c r="T162" s="3"/>
    </row>
    <row r="163" spans="1:2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7">
        <v>-169</v>
      </c>
      <c r="N164" s="49" t="str">
        <f>IF(H151="","",IF(H151=E149,E153,E149))</f>
        <v>Raigo Rommot</v>
      </c>
      <c r="O164" s="49"/>
      <c r="P164" s="49"/>
      <c r="Q164" s="3"/>
      <c r="R164" s="3"/>
      <c r="S164" s="3"/>
      <c r="T164" s="3"/>
    </row>
    <row r="165" spans="1:20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8">
        <v>186</v>
      </c>
      <c r="Q165" s="48" t="str">
        <f>IF(Mängud!E87="","",Mängud!E87)</f>
        <v>Raigo Rommot</v>
      </c>
      <c r="R165" s="48"/>
      <c r="S165" s="48"/>
      <c r="T165" s="7" t="s">
        <v>27</v>
      </c>
    </row>
    <row r="166" spans="1:20" ht="12.75">
      <c r="A166" s="7">
        <v>-153</v>
      </c>
      <c r="B166" s="49" t="str">
        <f>IF(E149="","",IF(E149=B148,B150,B148))</f>
        <v>Taavi Miku</v>
      </c>
      <c r="C166" s="49"/>
      <c r="D166" s="49"/>
      <c r="E166" s="3"/>
      <c r="F166" s="3"/>
      <c r="G166" s="3"/>
      <c r="H166" s="3"/>
      <c r="I166" s="3"/>
      <c r="J166" s="3"/>
      <c r="K166" s="3"/>
      <c r="L166" s="3"/>
      <c r="M166" s="7">
        <v>-170</v>
      </c>
      <c r="N166" s="49" t="str">
        <f>IF(H159="","",IF(H159=E157,E161,E157))</f>
        <v>Arvi Merigan</v>
      </c>
      <c r="O166" s="49"/>
      <c r="P166" s="49"/>
      <c r="Q166" s="16"/>
      <c r="R166" s="10" t="str">
        <f>IF(Mängud!F87="","",Mängud!F87)</f>
        <v>3:2</v>
      </c>
      <c r="S166" s="3"/>
      <c r="T166" s="3"/>
    </row>
    <row r="167" spans="1:20" ht="12.75">
      <c r="A167" s="3"/>
      <c r="B167" s="3"/>
      <c r="C167" s="3"/>
      <c r="D167" s="8">
        <v>167</v>
      </c>
      <c r="E167" s="48" t="str">
        <f>IF(Mängud!E68="","",Mängud!E68)</f>
        <v>Taavi Miku</v>
      </c>
      <c r="F167" s="48"/>
      <c r="G167" s="48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2.75">
      <c r="A168" s="7">
        <v>-154</v>
      </c>
      <c r="B168" s="70" t="str">
        <f>IF(E153="","",IF(E153=B152,B154,B152))</f>
        <v>Hannes Lepik</v>
      </c>
      <c r="C168" s="70"/>
      <c r="D168" s="70"/>
      <c r="E168" s="9"/>
      <c r="F168" s="10" t="str">
        <f>IF(Mängud!F68="","",Mängud!F68)</f>
        <v>3:0</v>
      </c>
      <c r="G168" s="8"/>
      <c r="H168" s="3"/>
      <c r="I168" s="3"/>
      <c r="J168" s="3"/>
      <c r="K168" s="3"/>
      <c r="L168" s="3"/>
      <c r="M168" s="3"/>
      <c r="N168" s="3"/>
      <c r="O168" s="3"/>
      <c r="P168" s="7">
        <v>-186</v>
      </c>
      <c r="Q168" s="49" t="str">
        <f>IF(Q165="","",IF(Q165=N164,N166,N164))</f>
        <v>Arvi Merigan</v>
      </c>
      <c r="R168" s="49"/>
      <c r="S168" s="49"/>
      <c r="T168" s="7" t="s">
        <v>28</v>
      </c>
    </row>
    <row r="169" spans="1:20" ht="12.75">
      <c r="A169" s="3"/>
      <c r="B169" s="3"/>
      <c r="C169" s="3"/>
      <c r="D169" s="3"/>
      <c r="E169" s="3"/>
      <c r="F169" s="3"/>
      <c r="G169" s="11">
        <v>185</v>
      </c>
      <c r="H169" s="48" t="str">
        <f>IF(Mängud!E86="","",Mängud!E86)</f>
        <v>Alex Rahuoja</v>
      </c>
      <c r="I169" s="48"/>
      <c r="J169" s="48"/>
      <c r="K169" s="7" t="s">
        <v>29</v>
      </c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2.75">
      <c r="A170" s="7">
        <v>-155</v>
      </c>
      <c r="B170" s="49" t="str">
        <f>IF(E157="","",IF(E157=B156,B158,B156))</f>
        <v>Raivo Roots</v>
      </c>
      <c r="C170" s="49"/>
      <c r="D170" s="49"/>
      <c r="E170" s="3"/>
      <c r="F170" s="3"/>
      <c r="G170" s="11"/>
      <c r="H170" s="9"/>
      <c r="I170" s="10" t="str">
        <f>IF(Mängud!F86="","",Mängud!F86)</f>
        <v>3:0</v>
      </c>
      <c r="J170" s="3"/>
      <c r="K170" s="3"/>
      <c r="L170" s="14"/>
      <c r="M170" s="3"/>
      <c r="N170" s="3"/>
      <c r="O170" s="3"/>
      <c r="P170" s="3"/>
      <c r="Q170" s="3"/>
      <c r="R170" s="3"/>
      <c r="S170" s="3"/>
      <c r="T170" s="3"/>
    </row>
    <row r="171" spans="1:20" ht="12.75">
      <c r="A171" s="3"/>
      <c r="B171" s="3"/>
      <c r="C171" s="3"/>
      <c r="D171" s="8">
        <v>168</v>
      </c>
      <c r="E171" s="50" t="str">
        <f>IF(Mängud!E69="","",Mängud!E69)</f>
        <v>Alex Rahuoja</v>
      </c>
      <c r="F171" s="50"/>
      <c r="G171" s="50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2.75">
      <c r="A172" s="7">
        <v>-156</v>
      </c>
      <c r="B172" s="70" t="str">
        <f>IF(E161="","",IF(E161=B160,B162,B160))</f>
        <v>Alex Rahuoja</v>
      </c>
      <c r="C172" s="70"/>
      <c r="D172" s="70"/>
      <c r="E172" s="9"/>
      <c r="F172" s="10" t="str">
        <f>IF(Mängud!F69="","",Mängud!F69)</f>
        <v>3:0</v>
      </c>
      <c r="G172" s="13"/>
      <c r="H172" s="1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2.75">
      <c r="A173" s="3"/>
      <c r="B173" s="3"/>
      <c r="C173" s="3"/>
      <c r="D173" s="3"/>
      <c r="E173" s="3"/>
      <c r="F173" s="3"/>
      <c r="G173" s="7">
        <v>-185</v>
      </c>
      <c r="H173" s="49" t="str">
        <f>IF(H169="","",IF(H169=E167,E171,E167))</f>
        <v>Taavi Miku</v>
      </c>
      <c r="I173" s="49"/>
      <c r="J173" s="49"/>
      <c r="K173" s="7" t="s">
        <v>30</v>
      </c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7">
        <v>-167</v>
      </c>
      <c r="N175" s="49" t="str">
        <f>IF(E167="","",IF(E167=B166,B168,B166))</f>
        <v>Hannes Lepik</v>
      </c>
      <c r="O175" s="49"/>
      <c r="P175" s="49"/>
      <c r="Q175" s="3"/>
      <c r="R175" s="3"/>
      <c r="S175" s="3"/>
      <c r="T175" s="3"/>
    </row>
    <row r="176" spans="1:20" ht="12.75">
      <c r="A176" s="7">
        <v>-125</v>
      </c>
      <c r="B176" s="49" t="str">
        <f>IF('Kohad_3-16'!E4="","",IF('Kohad_3-16'!E4='Kohad_3-16'!B3,'Kohad_3-16'!B5,'Kohad_3-16'!B3))</f>
        <v>Jako Lill</v>
      </c>
      <c r="C176" s="49"/>
      <c r="D176" s="49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8">
        <v>182</v>
      </c>
      <c r="Q176" s="48" t="str">
        <f>IF(Mängud!E83="","",Mängud!E83)</f>
        <v>Hannes Lepik</v>
      </c>
      <c r="R176" s="48"/>
      <c r="S176" s="48"/>
      <c r="T176" s="7" t="s">
        <v>31</v>
      </c>
    </row>
    <row r="177" spans="1:20" ht="12.75">
      <c r="A177" s="3"/>
      <c r="B177" s="3"/>
      <c r="C177" s="3"/>
      <c r="D177" s="8">
        <v>145</v>
      </c>
      <c r="E177" s="48" t="str">
        <f>IF(Mängud!E46="","",Mängud!E46)</f>
        <v>Anatoli Zapunov</v>
      </c>
      <c r="F177" s="48"/>
      <c r="G177" s="48"/>
      <c r="H177" s="3"/>
      <c r="I177" s="3"/>
      <c r="J177" s="3"/>
      <c r="K177" s="3"/>
      <c r="L177" s="3"/>
      <c r="M177" s="7">
        <v>-168</v>
      </c>
      <c r="N177" s="49" t="str">
        <f>IF(E171="","",IF(E171=B170,B172,B170))</f>
        <v>Raivo Roots</v>
      </c>
      <c r="O177" s="49"/>
      <c r="P177" s="49"/>
      <c r="Q177" s="16"/>
      <c r="R177" s="10" t="str">
        <f>IF(Mängud!F83="","",Mängud!F83)</f>
        <v>3:0</v>
      </c>
      <c r="S177" s="3"/>
      <c r="T177" s="3"/>
    </row>
    <row r="178" spans="1:20" ht="12.75">
      <c r="A178" s="7">
        <v>-126</v>
      </c>
      <c r="B178" s="49" t="str">
        <f>IF('Kohad_3-16'!E8="","",IF('Kohad_3-16'!E8='Kohad_3-16'!B7,'Kohad_3-16'!B9,'Kohad_3-16'!B7))</f>
        <v>Anatoli Zapunov</v>
      </c>
      <c r="C178" s="49"/>
      <c r="D178" s="49"/>
      <c r="E178" s="16"/>
      <c r="F178" s="10" t="str">
        <f>IF(Mängud!F46="","",Mängud!F46)</f>
        <v>3:0</v>
      </c>
      <c r="G178" s="8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2.75">
      <c r="A179" s="3"/>
      <c r="B179" s="3"/>
      <c r="C179" s="3"/>
      <c r="D179" s="3"/>
      <c r="E179" s="3"/>
      <c r="F179" s="3"/>
      <c r="G179" s="11">
        <v>161</v>
      </c>
      <c r="H179" s="48" t="str">
        <f>IF(Mängud!E62="","",Mängud!E62)</f>
        <v>Heiki Hansar</v>
      </c>
      <c r="I179" s="48"/>
      <c r="J179" s="48"/>
      <c r="K179" s="3"/>
      <c r="L179" s="3"/>
      <c r="M179" s="3"/>
      <c r="N179" s="3"/>
      <c r="O179" s="3"/>
      <c r="P179" s="7">
        <v>-182</v>
      </c>
      <c r="Q179" s="49" t="str">
        <f>IF(Q176="","",IF(Q176=N175,N177,N175))</f>
        <v>Raivo Roots</v>
      </c>
      <c r="R179" s="49"/>
      <c r="S179" s="49"/>
      <c r="T179" s="7" t="s">
        <v>32</v>
      </c>
    </row>
    <row r="180" spans="1:20" ht="12.75">
      <c r="A180" s="7">
        <v>-127</v>
      </c>
      <c r="B180" s="49" t="str">
        <f>IF('Kohad_3-16'!E12="","",IF('Kohad_3-16'!E12='Kohad_3-16'!B11,'Kohad_3-16'!B13,'Kohad_3-16'!B11))</f>
        <v>Heiki Hansar</v>
      </c>
      <c r="C180" s="49"/>
      <c r="D180" s="49"/>
      <c r="E180" s="3"/>
      <c r="F180" s="3"/>
      <c r="G180" s="11"/>
      <c r="H180" s="9"/>
      <c r="I180" s="10" t="str">
        <f>IF(Mängud!F62="","",Mängud!F62)</f>
        <v>3:1</v>
      </c>
      <c r="J180" s="8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2.75">
      <c r="A181" s="3"/>
      <c r="B181" s="3"/>
      <c r="C181" s="3"/>
      <c r="D181" s="8">
        <v>146</v>
      </c>
      <c r="E181" s="50" t="str">
        <f>IF(Mängud!E47="","",Mängud!E47)</f>
        <v>Heiki Hansar</v>
      </c>
      <c r="F181" s="50"/>
      <c r="G181" s="50"/>
      <c r="H181" s="3"/>
      <c r="I181" s="3"/>
      <c r="J181" s="11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2.75">
      <c r="A182" s="7">
        <v>-128</v>
      </c>
      <c r="B182" s="70" t="str">
        <f>IF('Kohad_3-16'!E16="","",IF('Kohad_3-16'!E16='Kohad_3-16'!B15,'Kohad_3-16'!B17,'Kohad_3-16'!B15))</f>
        <v>Bye Bye</v>
      </c>
      <c r="C182" s="70"/>
      <c r="D182" s="70"/>
      <c r="E182" s="9"/>
      <c r="F182" s="10" t="str">
        <f>IF(Mängud!F47="","",Mängud!F47)</f>
        <v>w.o.</v>
      </c>
      <c r="G182" s="13"/>
      <c r="H182" s="14"/>
      <c r="I182" s="3"/>
      <c r="J182" s="11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2.75">
      <c r="A183" s="3"/>
      <c r="B183" s="3"/>
      <c r="C183" s="3"/>
      <c r="D183" s="3"/>
      <c r="E183" s="3"/>
      <c r="F183" s="3"/>
      <c r="G183" s="3"/>
      <c r="H183" s="3"/>
      <c r="I183" s="3"/>
      <c r="J183" s="11">
        <v>181</v>
      </c>
      <c r="K183" s="48" t="str">
        <f>IF(Mängud!E82="","",Mängud!E82)</f>
        <v>Joosep Hansar</v>
      </c>
      <c r="L183" s="48"/>
      <c r="M183" s="48"/>
      <c r="N183" s="7" t="s">
        <v>33</v>
      </c>
      <c r="O183" s="3"/>
      <c r="P183" s="3"/>
      <c r="Q183" s="3"/>
      <c r="R183" s="3"/>
      <c r="S183" s="3"/>
      <c r="T183" s="3"/>
    </row>
    <row r="184" spans="1:20" ht="12.75">
      <c r="A184" s="7">
        <v>-129</v>
      </c>
      <c r="B184" s="49" t="str">
        <f>IF('Kohad_3-16'!E20="","",IF('Kohad_3-16'!E20='Kohad_3-16'!B19,'Kohad_3-16'!B21,'Kohad_3-16'!B19))</f>
        <v>Bye Bye</v>
      </c>
      <c r="C184" s="49"/>
      <c r="D184" s="49"/>
      <c r="E184" s="3"/>
      <c r="F184" s="3"/>
      <c r="G184" s="3"/>
      <c r="H184" s="3"/>
      <c r="I184" s="3"/>
      <c r="J184" s="11"/>
      <c r="K184" s="9"/>
      <c r="L184" s="10" t="str">
        <f>IF(Mängud!F82="","",Mängud!F82)</f>
        <v>3:2</v>
      </c>
      <c r="M184" s="3"/>
      <c r="N184" s="3"/>
      <c r="O184" s="3"/>
      <c r="P184" s="3"/>
      <c r="Q184" s="3"/>
      <c r="R184" s="3"/>
      <c r="S184" s="3"/>
      <c r="T184" s="3"/>
    </row>
    <row r="185" spans="1:20" ht="12.75">
      <c r="A185" s="3"/>
      <c r="B185" s="3"/>
      <c r="C185" s="3"/>
      <c r="D185" s="8">
        <v>147</v>
      </c>
      <c r="E185" s="48" t="str">
        <f>IF(Mängud!E48="","",Mängud!E48)</f>
        <v>Joosep Hansar</v>
      </c>
      <c r="F185" s="48"/>
      <c r="G185" s="48"/>
      <c r="H185" s="3"/>
      <c r="I185" s="3"/>
      <c r="J185" s="11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2.75">
      <c r="A186" s="7">
        <v>-130</v>
      </c>
      <c r="B186" s="49" t="str">
        <f>IF('Kohad_3-16'!E24="","",IF('Kohad_3-16'!E24='Kohad_3-16'!B23,'Kohad_3-16'!B25,'Kohad_3-16'!B23))</f>
        <v>Joosep Hansar</v>
      </c>
      <c r="C186" s="49"/>
      <c r="D186" s="49"/>
      <c r="E186" s="16"/>
      <c r="F186" s="10" t="str">
        <f>IF(Mängud!F48="","",Mängud!F48)</f>
        <v>w.o.</v>
      </c>
      <c r="G186" s="8"/>
      <c r="H186" s="3"/>
      <c r="I186" s="3"/>
      <c r="J186" s="11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2.75">
      <c r="A187" s="3"/>
      <c r="B187" s="3"/>
      <c r="C187" s="3"/>
      <c r="D187" s="3"/>
      <c r="E187" s="3"/>
      <c r="F187" s="3"/>
      <c r="G187" s="11">
        <v>162</v>
      </c>
      <c r="H187" s="48" t="str">
        <f>IF(Mängud!E63="","",Mängud!E63)</f>
        <v>Joosep Hansar</v>
      </c>
      <c r="I187" s="48"/>
      <c r="J187" s="48"/>
      <c r="K187" s="12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2.75">
      <c r="A188" s="7">
        <v>-131</v>
      </c>
      <c r="B188" s="49" t="str">
        <f>IF('Kohad_3-16'!E28="","",IF('Kohad_3-16'!E28='Kohad_3-16'!B27,'Kohad_3-16'!B29,'Kohad_3-16'!B27))</f>
        <v>Aivar Soo</v>
      </c>
      <c r="C188" s="49"/>
      <c r="D188" s="49"/>
      <c r="E188" s="3"/>
      <c r="F188" s="3"/>
      <c r="G188" s="11"/>
      <c r="H188" s="9"/>
      <c r="I188" s="10" t="str">
        <f>IF(Mängud!F63="","",Mängud!F63)</f>
        <v>3:1</v>
      </c>
      <c r="J188" s="13"/>
      <c r="K188" s="14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2.75">
      <c r="A189" s="3"/>
      <c r="B189" s="3"/>
      <c r="C189" s="3"/>
      <c r="D189" s="8">
        <v>148</v>
      </c>
      <c r="E189" s="50" t="str">
        <f>IF(Mängud!E49="","",Mängud!E49)</f>
        <v>Aivar Soo</v>
      </c>
      <c r="F189" s="50"/>
      <c r="G189" s="50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2.75">
      <c r="A190" s="7">
        <v>-132</v>
      </c>
      <c r="B190" s="70" t="str">
        <f>IF('Kohad_3-16'!E32="","",IF('Kohad_3-16'!E32='Kohad_3-16'!B31,'Kohad_3-16'!B33,'Kohad_3-16'!B31))</f>
        <v>Taivo Koitla</v>
      </c>
      <c r="C190" s="70"/>
      <c r="D190" s="70"/>
      <c r="E190" s="9"/>
      <c r="F190" s="10" t="str">
        <f>IF(Mängud!F49="","",Mängud!F49)</f>
        <v>3:0</v>
      </c>
      <c r="G190" s="13"/>
      <c r="H190" s="14"/>
      <c r="I190" s="3"/>
      <c r="J190" s="7">
        <v>-181</v>
      </c>
      <c r="K190" s="49" t="str">
        <f>IF(K183="","",IF(K183=H179,H187,H179))</f>
        <v>Heiki Hansar</v>
      </c>
      <c r="L190" s="49"/>
      <c r="M190" s="49"/>
      <c r="N190" s="7" t="s">
        <v>34</v>
      </c>
      <c r="O190" s="3"/>
      <c r="P190" s="3"/>
      <c r="Q190" s="3"/>
      <c r="R190" s="3"/>
      <c r="S190" s="3"/>
      <c r="T190" s="3"/>
    </row>
    <row r="191" spans="1:20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7">
        <v>-161</v>
      </c>
      <c r="N192" s="49" t="str">
        <f>IF(H179="","",IF(H179=E177,E181,E177))</f>
        <v>Anatoli Zapunov</v>
      </c>
      <c r="O192" s="49"/>
      <c r="P192" s="49"/>
      <c r="Q192" s="3"/>
      <c r="R192" s="3"/>
      <c r="S192" s="3"/>
      <c r="T192" s="3"/>
    </row>
    <row r="193" spans="1:20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8">
        <v>180</v>
      </c>
      <c r="Q193" s="48" t="str">
        <f>IF(Mängud!E81="","",Mängud!E81)</f>
        <v>Aivar Soo</v>
      </c>
      <c r="R193" s="48"/>
      <c r="S193" s="48"/>
      <c r="T193" s="7" t="s">
        <v>35</v>
      </c>
    </row>
    <row r="194" spans="1:20" ht="12.75">
      <c r="A194" s="7">
        <v>-145</v>
      </c>
      <c r="B194" s="49" t="str">
        <f>IF(E177="","",IF(E177=B176,B178,B176))</f>
        <v>Jako Lill</v>
      </c>
      <c r="C194" s="49"/>
      <c r="D194" s="49"/>
      <c r="E194" s="3"/>
      <c r="F194" s="3"/>
      <c r="G194" s="3"/>
      <c r="H194" s="3"/>
      <c r="I194" s="3"/>
      <c r="J194" s="3"/>
      <c r="K194" s="3"/>
      <c r="L194" s="3"/>
      <c r="M194" s="7">
        <v>-162</v>
      </c>
      <c r="N194" s="70" t="str">
        <f>IF(H187="","",IF(H187=E185,E189,E185))</f>
        <v>Aivar Soo</v>
      </c>
      <c r="O194" s="70"/>
      <c r="P194" s="70"/>
      <c r="Q194" s="9"/>
      <c r="R194" s="10" t="str">
        <f>IF(Mängud!F81="","",Mängud!F81)</f>
        <v>3:0</v>
      </c>
      <c r="S194" s="3"/>
      <c r="T194" s="3"/>
    </row>
    <row r="195" spans="1:20" ht="12.75">
      <c r="A195" s="3"/>
      <c r="B195" s="3"/>
      <c r="C195" s="3"/>
      <c r="D195" s="8">
        <v>159</v>
      </c>
      <c r="E195" s="48" t="str">
        <f>IF(Mängud!E60="","",Mängud!E60)</f>
        <v>Jako Lill</v>
      </c>
      <c r="F195" s="48"/>
      <c r="G195" s="48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2.75">
      <c r="A196" s="7">
        <v>-146</v>
      </c>
      <c r="B196" s="70" t="str">
        <f>IF(E181="","",IF(E181=B180,B182,B180))</f>
        <v>Bye Bye</v>
      </c>
      <c r="C196" s="70"/>
      <c r="D196" s="70"/>
      <c r="E196" s="9"/>
      <c r="F196" s="10" t="str">
        <f>IF(Mängud!F60="","",Mängud!F60)</f>
        <v>w.o.</v>
      </c>
      <c r="G196" s="8"/>
      <c r="H196" s="3"/>
      <c r="I196" s="3"/>
      <c r="J196" s="3"/>
      <c r="K196" s="3"/>
      <c r="L196" s="3"/>
      <c r="M196" s="3"/>
      <c r="N196" s="3"/>
      <c r="O196" s="3"/>
      <c r="P196" s="7">
        <v>-180</v>
      </c>
      <c r="Q196" s="49" t="str">
        <f>IF(Q193="","",IF(Q193=N192,N194,N192))</f>
        <v>Anatoli Zapunov</v>
      </c>
      <c r="R196" s="49"/>
      <c r="S196" s="49"/>
      <c r="T196" s="7" t="s">
        <v>36</v>
      </c>
    </row>
    <row r="197" spans="1:20" ht="12.75">
      <c r="A197" s="3"/>
      <c r="B197" s="3"/>
      <c r="C197" s="3"/>
      <c r="D197" s="3"/>
      <c r="E197" s="3"/>
      <c r="F197" s="3"/>
      <c r="G197" s="11">
        <v>179</v>
      </c>
      <c r="H197" s="48" t="str">
        <f>IF(Mängud!E80="","",Mängud!E80)</f>
        <v>Taivo Koitla</v>
      </c>
      <c r="I197" s="48"/>
      <c r="J197" s="48"/>
      <c r="K197" s="7" t="s">
        <v>37</v>
      </c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12.75">
      <c r="A198" s="7">
        <v>-147</v>
      </c>
      <c r="B198" s="49" t="str">
        <f>IF(E185="","",IF(E185=B184,B186,B184))</f>
        <v>Bye Bye</v>
      </c>
      <c r="C198" s="49"/>
      <c r="D198" s="49"/>
      <c r="E198" s="3"/>
      <c r="F198" s="3"/>
      <c r="G198" s="11"/>
      <c r="H198" s="9"/>
      <c r="I198" s="10" t="str">
        <f>IF(Mängud!F80="","",Mängud!F80)</f>
        <v>3:2</v>
      </c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2.75">
      <c r="A199" s="3"/>
      <c r="B199" s="3"/>
      <c r="C199" s="3"/>
      <c r="D199" s="8">
        <v>160</v>
      </c>
      <c r="E199" s="50" t="str">
        <f>IF(Mängud!E61="","",Mängud!E61)</f>
        <v>Taivo Koitla</v>
      </c>
      <c r="F199" s="50"/>
      <c r="G199" s="50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2.75">
      <c r="A200" s="7">
        <v>-148</v>
      </c>
      <c r="B200" s="70" t="str">
        <f>IF(E189="","",IF(E189=B188,B190,B188))</f>
        <v>Taivo Koitla</v>
      </c>
      <c r="C200" s="70"/>
      <c r="D200" s="70"/>
      <c r="E200" s="9"/>
      <c r="F200" s="10" t="str">
        <f>IF(Mängud!F61="","",Mängud!F61)</f>
        <v>w.o.</v>
      </c>
      <c r="G200" s="13"/>
      <c r="H200" s="1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2.75">
      <c r="A201" s="3"/>
      <c r="B201" s="3"/>
      <c r="C201" s="3"/>
      <c r="D201" s="3"/>
      <c r="E201" s="3"/>
      <c r="F201" s="3"/>
      <c r="G201" s="7">
        <v>-179</v>
      </c>
      <c r="H201" s="49" t="str">
        <f>IF(H197="","",IF(H197=E195,E199,E195))</f>
        <v>Jako Lill</v>
      </c>
      <c r="I201" s="49"/>
      <c r="J201" s="49"/>
      <c r="K201" s="7" t="s">
        <v>38</v>
      </c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7">
        <v>-159</v>
      </c>
      <c r="N203" s="49" t="str">
        <f>IF(E195="","",IF(E195=B194,B196,B194))</f>
        <v>Bye Bye</v>
      </c>
      <c r="O203" s="49"/>
      <c r="P203" s="49"/>
      <c r="Q203" s="3"/>
      <c r="R203" s="3"/>
      <c r="S203" s="3"/>
      <c r="T203" s="3"/>
    </row>
    <row r="204" spans="1:20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8">
        <v>178</v>
      </c>
      <c r="Q204" s="48" t="str">
        <f>IF(Mängud!E79="","",Mängud!E79)</f>
        <v>Bye Bye</v>
      </c>
      <c r="R204" s="48"/>
      <c r="S204" s="48"/>
      <c r="T204" s="7" t="s">
        <v>39</v>
      </c>
    </row>
    <row r="205" spans="1:20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7">
        <v>-160</v>
      </c>
      <c r="N205" s="70" t="str">
        <f>IF(E199="","",IF(E199=B198,B200,B198))</f>
        <v>Bye Bye</v>
      </c>
      <c r="O205" s="70"/>
      <c r="P205" s="70"/>
      <c r="Q205" s="9"/>
      <c r="R205" s="10" t="str">
        <f>IF(Mängud!F79="","",Mängud!F79)</f>
        <v>w.o.</v>
      </c>
      <c r="S205" s="3"/>
      <c r="T205" s="3"/>
    </row>
    <row r="206" spans="1:20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7">
        <v>-178</v>
      </c>
      <c r="Q207" s="49" t="str">
        <f>IF(Q204="","",IF(Q204=N203,N205,N203))</f>
        <v>Bye Bye</v>
      </c>
      <c r="R207" s="49"/>
      <c r="S207" s="49"/>
      <c r="T207" s="7" t="s">
        <v>40</v>
      </c>
    </row>
    <row r="208" spans="1:20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</sheetData>
  <sheetProtection/>
  <mergeCells count="231">
    <mergeCell ref="Q132:S132"/>
    <mergeCell ref="Q135:S135"/>
    <mergeCell ref="Q141:S141"/>
    <mergeCell ref="N142:P142"/>
    <mergeCell ref="Q144:S144"/>
    <mergeCell ref="N133:P133"/>
    <mergeCell ref="B128:D128"/>
    <mergeCell ref="E129:G129"/>
    <mergeCell ref="H131:J131"/>
    <mergeCell ref="H136:J136"/>
    <mergeCell ref="H140:J140"/>
    <mergeCell ref="E138:G138"/>
    <mergeCell ref="E134:G134"/>
    <mergeCell ref="B130:D130"/>
    <mergeCell ref="N131:P131"/>
    <mergeCell ref="N140:P140"/>
    <mergeCell ref="B135:D135"/>
    <mergeCell ref="B137:D137"/>
    <mergeCell ref="B139:D139"/>
    <mergeCell ref="B133:D133"/>
    <mergeCell ref="Q126:S126"/>
    <mergeCell ref="N116:P116"/>
    <mergeCell ref="N118:P118"/>
    <mergeCell ref="Q117:S117"/>
    <mergeCell ref="Q120:S120"/>
    <mergeCell ref="N122:P122"/>
    <mergeCell ref="N124:P124"/>
    <mergeCell ref="Q123:S123"/>
    <mergeCell ref="B62:D62"/>
    <mergeCell ref="H63:J63"/>
    <mergeCell ref="Q63:S63"/>
    <mergeCell ref="B64:D64"/>
    <mergeCell ref="E65:G65"/>
    <mergeCell ref="B66:D66"/>
    <mergeCell ref="B56:D56"/>
    <mergeCell ref="E57:G57"/>
    <mergeCell ref="B58:D58"/>
    <mergeCell ref="K59:M59"/>
    <mergeCell ref="B60:D60"/>
    <mergeCell ref="E61:G61"/>
    <mergeCell ref="B50:D50"/>
    <mergeCell ref="N51:P51"/>
    <mergeCell ref="B52:D52"/>
    <mergeCell ref="E53:G53"/>
    <mergeCell ref="B54:D54"/>
    <mergeCell ref="H55:J55"/>
    <mergeCell ref="B44:D44"/>
    <mergeCell ref="E45:G45"/>
    <mergeCell ref="B46:D46"/>
    <mergeCell ref="H47:J47"/>
    <mergeCell ref="B48:D48"/>
    <mergeCell ref="E49:G49"/>
    <mergeCell ref="B38:D38"/>
    <mergeCell ref="H39:J39"/>
    <mergeCell ref="B40:D40"/>
    <mergeCell ref="E41:G41"/>
    <mergeCell ref="B42:D42"/>
    <mergeCell ref="K43:M43"/>
    <mergeCell ref="B32:D32"/>
    <mergeCell ref="E33:G33"/>
    <mergeCell ref="B34:D34"/>
    <mergeCell ref="Q35:S35"/>
    <mergeCell ref="B36:D36"/>
    <mergeCell ref="E37:G37"/>
    <mergeCell ref="B26:D26"/>
    <mergeCell ref="K27:M27"/>
    <mergeCell ref="B28:D28"/>
    <mergeCell ref="E29:G29"/>
    <mergeCell ref="B30:D30"/>
    <mergeCell ref="H31:J31"/>
    <mergeCell ref="B20:D20"/>
    <mergeCell ref="E21:G21"/>
    <mergeCell ref="B22:D22"/>
    <mergeCell ref="H23:J23"/>
    <mergeCell ref="B24:D24"/>
    <mergeCell ref="E25:G25"/>
    <mergeCell ref="B14:D14"/>
    <mergeCell ref="H15:J15"/>
    <mergeCell ref="B16:D16"/>
    <mergeCell ref="E17:G17"/>
    <mergeCell ref="B18:D18"/>
    <mergeCell ref="N19:P19"/>
    <mergeCell ref="B8:D8"/>
    <mergeCell ref="E9:G9"/>
    <mergeCell ref="B10:D10"/>
    <mergeCell ref="K11:M11"/>
    <mergeCell ref="B12:D12"/>
    <mergeCell ref="E13:G13"/>
    <mergeCell ref="B4:D4"/>
    <mergeCell ref="E5:G5"/>
    <mergeCell ref="B6:D6"/>
    <mergeCell ref="H7:J7"/>
    <mergeCell ref="A1:E1"/>
    <mergeCell ref="F1:O1"/>
    <mergeCell ref="P1:T1"/>
    <mergeCell ref="A2:E2"/>
    <mergeCell ref="F2:O2"/>
    <mergeCell ref="P2:T3"/>
    <mergeCell ref="B3:D3"/>
    <mergeCell ref="J3:K3"/>
    <mergeCell ref="E125:G125"/>
    <mergeCell ref="B126:D126"/>
    <mergeCell ref="H127:J127"/>
    <mergeCell ref="B124:D124"/>
    <mergeCell ref="H115:J115"/>
    <mergeCell ref="H111:J111"/>
    <mergeCell ref="B112:D112"/>
    <mergeCell ref="E113:G113"/>
    <mergeCell ref="B114:D114"/>
    <mergeCell ref="B108:D108"/>
    <mergeCell ref="E109:G109"/>
    <mergeCell ref="B110:D110"/>
    <mergeCell ref="E103:G103"/>
    <mergeCell ref="B104:D104"/>
    <mergeCell ref="H104:J104"/>
    <mergeCell ref="N104:P104"/>
    <mergeCell ref="E105:G105"/>
    <mergeCell ref="B106:D106"/>
    <mergeCell ref="K106:M106"/>
    <mergeCell ref="E99:G99"/>
    <mergeCell ref="B100:D100"/>
    <mergeCell ref="H100:J100"/>
    <mergeCell ref="Q100:S100"/>
    <mergeCell ref="E101:G101"/>
    <mergeCell ref="B102:D102"/>
    <mergeCell ref="K102:M102"/>
    <mergeCell ref="E95:G95"/>
    <mergeCell ref="B96:D96"/>
    <mergeCell ref="H96:J96"/>
    <mergeCell ref="N96:P96"/>
    <mergeCell ref="E97:G97"/>
    <mergeCell ref="B98:D98"/>
    <mergeCell ref="K98:M98"/>
    <mergeCell ref="E91:G91"/>
    <mergeCell ref="B92:D92"/>
    <mergeCell ref="H92:J92"/>
    <mergeCell ref="E93:G93"/>
    <mergeCell ref="B94:D94"/>
    <mergeCell ref="K94:M94"/>
    <mergeCell ref="E87:G87"/>
    <mergeCell ref="B88:D88"/>
    <mergeCell ref="H88:J88"/>
    <mergeCell ref="N88:P88"/>
    <mergeCell ref="E89:G89"/>
    <mergeCell ref="B90:D90"/>
    <mergeCell ref="K90:M90"/>
    <mergeCell ref="E83:G83"/>
    <mergeCell ref="B84:D84"/>
    <mergeCell ref="H84:J84"/>
    <mergeCell ref="Q84:S84"/>
    <mergeCell ref="E85:G85"/>
    <mergeCell ref="B86:D86"/>
    <mergeCell ref="K86:M86"/>
    <mergeCell ref="B80:D80"/>
    <mergeCell ref="H80:J80"/>
    <mergeCell ref="N80:P80"/>
    <mergeCell ref="E81:G81"/>
    <mergeCell ref="B82:D82"/>
    <mergeCell ref="K82:M82"/>
    <mergeCell ref="Q204:S204"/>
    <mergeCell ref="N205:P205"/>
    <mergeCell ref="Q207:S207"/>
    <mergeCell ref="A74:T74"/>
    <mergeCell ref="B76:D76"/>
    <mergeCell ref="H76:J76"/>
    <mergeCell ref="E77:G77"/>
    <mergeCell ref="B78:D78"/>
    <mergeCell ref="K78:M78"/>
    <mergeCell ref="E79:G79"/>
    <mergeCell ref="H197:J197"/>
    <mergeCell ref="B198:D198"/>
    <mergeCell ref="E199:G199"/>
    <mergeCell ref="B200:D200"/>
    <mergeCell ref="H201:J201"/>
    <mergeCell ref="N203:P203"/>
    <mergeCell ref="N192:P192"/>
    <mergeCell ref="Q193:S193"/>
    <mergeCell ref="B194:D194"/>
    <mergeCell ref="N194:P194"/>
    <mergeCell ref="E195:G195"/>
    <mergeCell ref="B196:D196"/>
    <mergeCell ref="Q196:S196"/>
    <mergeCell ref="B186:D186"/>
    <mergeCell ref="H187:J187"/>
    <mergeCell ref="B188:D188"/>
    <mergeCell ref="E189:G189"/>
    <mergeCell ref="B190:D190"/>
    <mergeCell ref="K190:M190"/>
    <mergeCell ref="B180:D180"/>
    <mergeCell ref="E181:G181"/>
    <mergeCell ref="B182:D182"/>
    <mergeCell ref="K183:M183"/>
    <mergeCell ref="B184:D184"/>
    <mergeCell ref="E185:G185"/>
    <mergeCell ref="B176:D176"/>
    <mergeCell ref="Q176:S176"/>
    <mergeCell ref="E177:G177"/>
    <mergeCell ref="N177:P177"/>
    <mergeCell ref="B178:D178"/>
    <mergeCell ref="H179:J179"/>
    <mergeCell ref="Q179:S179"/>
    <mergeCell ref="H169:J169"/>
    <mergeCell ref="B170:D170"/>
    <mergeCell ref="E171:G171"/>
    <mergeCell ref="B172:D172"/>
    <mergeCell ref="H173:J173"/>
    <mergeCell ref="N175:P175"/>
    <mergeCell ref="Q165:S165"/>
    <mergeCell ref="B166:D166"/>
    <mergeCell ref="N166:P166"/>
    <mergeCell ref="E167:G167"/>
    <mergeCell ref="B168:D168"/>
    <mergeCell ref="Q168:S168"/>
    <mergeCell ref="H159:J159"/>
    <mergeCell ref="B160:D160"/>
    <mergeCell ref="E161:G161"/>
    <mergeCell ref="B162:D162"/>
    <mergeCell ref="K162:M162"/>
    <mergeCell ref="N164:P164"/>
    <mergeCell ref="E153:G153"/>
    <mergeCell ref="B154:D154"/>
    <mergeCell ref="K155:M155"/>
    <mergeCell ref="B156:D156"/>
    <mergeCell ref="E157:G157"/>
    <mergeCell ref="B158:D158"/>
    <mergeCell ref="A147:T147"/>
    <mergeCell ref="B148:D148"/>
    <mergeCell ref="E149:G149"/>
    <mergeCell ref="B150:D150"/>
    <mergeCell ref="H151:J151"/>
    <mergeCell ref="B152:D152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V136"/>
  <sheetViews>
    <sheetView zoomScalePageLayoutView="0" workbookViewId="0" topLeftCell="A4">
      <selection activeCell="D10" sqref="D10"/>
    </sheetView>
  </sheetViews>
  <sheetFormatPr defaultColWidth="9.140625" defaultRowHeight="12.75"/>
  <cols>
    <col min="1" max="1" width="17.00390625" style="38" customWidth="1"/>
    <col min="2" max="2" width="12.57421875" style="38" customWidth="1"/>
    <col min="3" max="3" width="13.140625" style="38" customWidth="1"/>
    <col min="4" max="4" width="16.28125" style="38" customWidth="1"/>
    <col min="5" max="5" width="15.57421875" style="38" customWidth="1"/>
    <col min="6" max="6" width="18.8515625" style="38" customWidth="1"/>
    <col min="7" max="7" width="9.140625" style="38" customWidth="1"/>
    <col min="8" max="8" width="11.28125" style="38" customWidth="1"/>
    <col min="9" max="16384" width="9.140625" style="38" customWidth="1"/>
  </cols>
  <sheetData>
    <row r="1" spans="1:256" ht="15">
      <c r="A1" s="39" t="s">
        <v>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</row>
    <row r="2" spans="1:256" ht="12.75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:8" s="26" customFormat="1" ht="15">
      <c r="A3" s="31" t="s">
        <v>76</v>
      </c>
      <c r="B3" s="31" t="s">
        <v>77</v>
      </c>
      <c r="C3" s="31" t="s">
        <v>78</v>
      </c>
      <c r="D3" s="37" t="s">
        <v>79</v>
      </c>
      <c r="E3" s="31" t="s">
        <v>80</v>
      </c>
      <c r="F3" s="37" t="s">
        <v>81</v>
      </c>
      <c r="G3" s="37" t="s">
        <v>82</v>
      </c>
      <c r="H3" s="37" t="s">
        <v>83</v>
      </c>
    </row>
    <row r="4" spans="1:8" s="26" customFormat="1" ht="15">
      <c r="A4" s="27" t="s">
        <v>84</v>
      </c>
      <c r="B4" s="28"/>
      <c r="C4" s="28"/>
      <c r="D4" s="29"/>
      <c r="F4" s="30"/>
      <c r="G4" s="30"/>
      <c r="H4" s="30"/>
    </row>
    <row r="5" spans="1:8" s="26" customFormat="1" ht="15">
      <c r="A5" s="31" t="s">
        <v>85</v>
      </c>
      <c r="B5" s="32"/>
      <c r="C5" s="28"/>
      <c r="D5" s="29"/>
      <c r="F5" s="30"/>
      <c r="G5" s="30"/>
      <c r="H5" s="30"/>
    </row>
    <row r="6" spans="1:8" s="26" customFormat="1" ht="15">
      <c r="A6" s="31" t="s">
        <v>86</v>
      </c>
      <c r="B6" s="28"/>
      <c r="C6" s="28"/>
      <c r="D6" s="29"/>
      <c r="F6" s="30"/>
      <c r="G6" s="30"/>
      <c r="H6" s="30"/>
    </row>
    <row r="7" spans="1:8" s="26" customFormat="1" ht="15">
      <c r="A7" s="31" t="s">
        <v>87</v>
      </c>
      <c r="B7" s="28"/>
      <c r="C7" s="28"/>
      <c r="D7" s="29"/>
      <c r="F7" s="30"/>
      <c r="G7" s="30"/>
      <c r="H7" s="30"/>
    </row>
    <row r="8" spans="1:8" s="26" customFormat="1" ht="15">
      <c r="A8" s="31" t="s">
        <v>88</v>
      </c>
      <c r="B8" s="28"/>
      <c r="C8" s="28"/>
      <c r="D8" s="29"/>
      <c r="F8" s="30"/>
      <c r="G8" s="30"/>
      <c r="H8" s="30"/>
    </row>
    <row r="9" spans="1:8" s="28" customFormat="1" ht="15">
      <c r="A9" s="31" t="s">
        <v>4</v>
      </c>
      <c r="B9" s="31" t="s">
        <v>89</v>
      </c>
      <c r="C9" s="31" t="s">
        <v>90</v>
      </c>
      <c r="D9" s="37" t="s">
        <v>91</v>
      </c>
      <c r="F9" s="29"/>
      <c r="G9" s="29"/>
      <c r="H9" s="29"/>
    </row>
    <row r="10" spans="1:4" ht="14.25">
      <c r="A10" s="41">
        <v>1</v>
      </c>
      <c r="B10" s="41" t="str">
        <f>IF(Paigutus!C3="","",Paigutus!C3)</f>
        <v>Luigemaa</v>
      </c>
      <c r="C10" s="41" t="str">
        <f>IF(Paigutus!B3="","",Paigutus!B3)</f>
        <v>Antti</v>
      </c>
      <c r="D10" s="41">
        <f>IF(Paigutus!E3="","",Paigutus!E3)</f>
        <v>204</v>
      </c>
    </row>
    <row r="11" spans="1:4" ht="14.25">
      <c r="A11" s="41">
        <v>2</v>
      </c>
      <c r="B11" s="41" t="str">
        <f>IF(Paigutus!C4="","",Paigutus!C4)</f>
        <v>Salla</v>
      </c>
      <c r="C11" s="41" t="str">
        <f>IF(Paigutus!B4="","",Paigutus!B4)</f>
        <v>Allan</v>
      </c>
      <c r="D11" s="41">
        <f>IF(Paigutus!E4="","",Paigutus!E4)</f>
        <v>7445</v>
      </c>
    </row>
    <row r="12" spans="1:4" ht="14.25">
      <c r="A12" s="41">
        <v>3</v>
      </c>
      <c r="B12" s="41" t="str">
        <f>IF(Paigutus!C5="","",Paigutus!C5)</f>
        <v>Somer</v>
      </c>
      <c r="C12" s="41" t="str">
        <f>IF(Paigutus!B5="","",Paigutus!B5)</f>
        <v>Andres</v>
      </c>
      <c r="D12" s="41">
        <f>IF(Paigutus!E5="","",Paigutus!E5)</f>
        <v>263</v>
      </c>
    </row>
    <row r="13" spans="1:4" ht="14.25">
      <c r="A13" s="41">
        <v>4</v>
      </c>
      <c r="B13" s="41" t="str">
        <f>IF(Paigutus!C6="","",Paigutus!C6)</f>
        <v>Sinisalu</v>
      </c>
      <c r="C13" s="41" t="str">
        <f>IF(Paigutus!B6="","",Paigutus!B6)</f>
        <v>Urmas</v>
      </c>
      <c r="D13" s="41">
        <f>IF(Paigutus!E6="","",Paigutus!E6)</f>
        <v>8178</v>
      </c>
    </row>
    <row r="14" spans="1:4" ht="14.25">
      <c r="A14" s="41">
        <v>5</v>
      </c>
      <c r="B14" s="41" t="str">
        <f>IF(Paigutus!C7="","",Paigutus!C7)</f>
        <v>Rybachok</v>
      </c>
      <c r="C14" s="41" t="str">
        <f>IF(Paigutus!B7="","",Paigutus!B7)</f>
        <v>Vladyslav</v>
      </c>
      <c r="D14" s="41">
        <f>IF(Paigutus!E7="","",Paigutus!E7)</f>
        <v>10100</v>
      </c>
    </row>
    <row r="15" spans="1:4" ht="14.25">
      <c r="A15" s="41">
        <v>6</v>
      </c>
      <c r="B15" s="41" t="str">
        <f>IF(Paigutus!C8="","",Paigutus!C8)</f>
        <v>Plokhotniuk</v>
      </c>
      <c r="C15" s="41" t="str">
        <f>IF(Paigutus!B8="","",Paigutus!B8)</f>
        <v>Mykhailo</v>
      </c>
      <c r="D15" s="41">
        <f>IF(Paigutus!E8="","",Paigutus!E8)</f>
      </c>
    </row>
    <row r="16" spans="1:4" ht="14.25">
      <c r="A16" s="41">
        <v>7</v>
      </c>
      <c r="B16" s="41" t="str">
        <f>IF(Paigutus!C9="","",Paigutus!C9)</f>
        <v>Korsen</v>
      </c>
      <c r="C16" s="41" t="str">
        <f>IF(Paigutus!B9="","",Paigutus!B9)</f>
        <v>Imre</v>
      </c>
      <c r="D16" s="41">
        <f>IF(Paigutus!E9="","",Paigutus!E9)</f>
        <v>441</v>
      </c>
    </row>
    <row r="17" spans="1:13" ht="14.25">
      <c r="A17" s="41">
        <v>8</v>
      </c>
      <c r="B17" s="41" t="str">
        <f>IF(Paigutus!C10="","",Paigutus!C10)</f>
        <v>Ristissaar</v>
      </c>
      <c r="C17" s="41" t="str">
        <f>IF(Paigutus!B10="","",Paigutus!B10)</f>
        <v>Veiko</v>
      </c>
      <c r="D17" s="41">
        <f>IF(Paigutus!E10="","",Paigutus!E10)</f>
        <v>1227</v>
      </c>
      <c r="M17" s="38" t="s">
        <v>100</v>
      </c>
    </row>
    <row r="18" spans="1:4" ht="14.25">
      <c r="A18" s="41">
        <v>9</v>
      </c>
      <c r="B18" s="41" t="str">
        <f>IF(Paigutus!C11="","",Paigutus!C11)</f>
        <v>Virkunen</v>
      </c>
      <c r="C18" s="41" t="str">
        <f>IF(Paigutus!B11="","",Paigutus!B11)</f>
        <v>Eduard</v>
      </c>
      <c r="D18" s="41">
        <f>IF(Paigutus!E11="","",Paigutus!E11)</f>
        <v>4859</v>
      </c>
    </row>
    <row r="19" spans="1:4" ht="14.25">
      <c r="A19" s="41">
        <v>10</v>
      </c>
      <c r="B19" s="41" t="str">
        <f>IF(Paigutus!C12="","",Paigutus!C12)</f>
        <v>Reinsalu</v>
      </c>
      <c r="C19" s="41" t="str">
        <f>IF(Paigutus!B12="","",Paigutus!B12)</f>
        <v>Keit</v>
      </c>
      <c r="D19" s="41">
        <f>IF(Paigutus!E12="","",Paigutus!E12)</f>
        <v>3446</v>
      </c>
    </row>
    <row r="20" spans="1:4" ht="14.25">
      <c r="A20" s="41">
        <v>11</v>
      </c>
      <c r="B20" s="41" t="str">
        <f>IF(Paigutus!C13="","",Paigutus!C13)</f>
        <v>Kalda</v>
      </c>
      <c r="C20" s="41" t="str">
        <f>IF(Paigutus!B13="","",Paigutus!B13)</f>
        <v>Kalju</v>
      </c>
      <c r="D20" s="41">
        <f>IF(Paigutus!E13="","",Paigutus!E13)</f>
        <v>346</v>
      </c>
    </row>
    <row r="21" spans="1:4" ht="14.25">
      <c r="A21" s="41">
        <v>12</v>
      </c>
      <c r="B21" s="41" t="str">
        <f>IF(Paigutus!C14="","",Paigutus!C14)</f>
        <v>Ristissaar</v>
      </c>
      <c r="C21" s="41" t="str">
        <f>IF(Paigutus!B14="","",Paigutus!B14)</f>
        <v>Reino</v>
      </c>
      <c r="D21" s="41">
        <f>IF(Paigutus!E14="","",Paigutus!E14)</f>
        <v>1228</v>
      </c>
    </row>
    <row r="22" spans="1:4" ht="14.25">
      <c r="A22" s="41">
        <v>13</v>
      </c>
      <c r="B22" s="41" t="str">
        <f>IF(Paigutus!C15="","",Paigutus!C15)</f>
        <v>Lindborg</v>
      </c>
      <c r="C22" s="41" t="str">
        <f>IF(Paigutus!B15="","",Paigutus!B15)</f>
        <v>Jimmy</v>
      </c>
      <c r="D22" s="41">
        <f>IF(Paigutus!E15="","",Paigutus!E15)</f>
        <v>9633</v>
      </c>
    </row>
    <row r="23" spans="1:4" ht="14.25">
      <c r="A23" s="41">
        <v>14</v>
      </c>
      <c r="B23" s="41" t="str">
        <f>IF(Paigutus!C16="","",Paigutus!C16)</f>
        <v>Raid</v>
      </c>
      <c r="C23" s="41" t="str">
        <f>IF(Paigutus!B16="","",Paigutus!B16)</f>
        <v>Ain</v>
      </c>
      <c r="D23" s="41">
        <f>IF(Paigutus!E16="","",Paigutus!E16)</f>
        <v>7472</v>
      </c>
    </row>
    <row r="24" spans="1:4" ht="14.25">
      <c r="A24" s="41">
        <v>15</v>
      </c>
      <c r="B24" s="41" t="str">
        <f>IF(Paigutus!C17="","",Paigutus!C17)</f>
        <v>Sool</v>
      </c>
      <c r="C24" s="41" t="str">
        <f>IF(Paigutus!B17="","",Paigutus!B17)</f>
        <v>Heikki</v>
      </c>
      <c r="D24" s="41">
        <f>IF(Paigutus!E17="","",Paigutus!E17)</f>
        <v>1166</v>
      </c>
    </row>
    <row r="25" spans="1:4" ht="14.25">
      <c r="A25" s="41">
        <v>16</v>
      </c>
      <c r="B25" s="41" t="str">
        <f>IF(Paigutus!C18="","",Paigutus!C18)</f>
        <v>Kuuspalu</v>
      </c>
      <c r="C25" s="41" t="str">
        <f>IF(Paigutus!B18="","",Paigutus!B18)</f>
        <v>Kalle</v>
      </c>
      <c r="D25" s="41">
        <f>IF(Paigutus!E18="","",Paigutus!E18)</f>
        <v>7299</v>
      </c>
    </row>
    <row r="26" spans="1:4" ht="14.25">
      <c r="A26" s="41">
        <v>17</v>
      </c>
      <c r="B26" s="41" t="str">
        <f>IF(Paigutus!C19="","",Paigutus!C19)</f>
        <v>Rommot</v>
      </c>
      <c r="C26" s="41" t="str">
        <f>IF(Paigutus!B19="","",Paigutus!B19)</f>
        <v>Raigo</v>
      </c>
      <c r="D26" s="41">
        <f>IF(Paigutus!E19="","",Paigutus!E19)</f>
        <v>7194</v>
      </c>
    </row>
    <row r="27" spans="1:4" ht="14.25">
      <c r="A27" s="41">
        <v>18</v>
      </c>
      <c r="B27" s="41" t="str">
        <f>IF(Paigutus!C20="","",Paigutus!C20)</f>
        <v>Perendi</v>
      </c>
      <c r="C27" s="41" t="str">
        <f>IF(Paigutus!B20="","",Paigutus!B20)</f>
        <v>Marko</v>
      </c>
      <c r="D27" s="41">
        <f>IF(Paigutus!E20="","",Paigutus!E20)</f>
        <v>1080</v>
      </c>
    </row>
    <row r="28" spans="1:4" ht="14.25">
      <c r="A28" s="41">
        <v>19</v>
      </c>
      <c r="B28" s="41" t="str">
        <f>IF(Paigutus!C21="","",Paigutus!C21)</f>
        <v>Miku</v>
      </c>
      <c r="C28" s="41" t="str">
        <f>IF(Paigutus!B21="","",Paigutus!B21)</f>
        <v>Taavi</v>
      </c>
      <c r="D28" s="41">
        <f>IF(Paigutus!E21="","",Paigutus!E21)</f>
        <v>8281</v>
      </c>
    </row>
    <row r="29" spans="1:4" ht="14.25">
      <c r="A29" s="41">
        <v>20</v>
      </c>
      <c r="B29" s="41" t="str">
        <f>IF(Paigutus!C22="","",Paigutus!C22)</f>
        <v>Rahuoja</v>
      </c>
      <c r="C29" s="41" t="str">
        <f>IF(Paigutus!B22="","",Paigutus!B22)</f>
        <v>Alex</v>
      </c>
      <c r="D29" s="41">
        <f>IF(Paigutus!E22="","",Paigutus!E22)</f>
        <v>9464</v>
      </c>
    </row>
    <row r="30" spans="1:4" ht="14.25">
      <c r="A30" s="41">
        <v>21</v>
      </c>
      <c r="B30" s="41" t="str">
        <f>IF(Paigutus!C23="","",Paigutus!C23)</f>
        <v>Merigan</v>
      </c>
      <c r="C30" s="41" t="str">
        <f>IF(Paigutus!B23="","",Paigutus!B23)</f>
        <v>Arvi</v>
      </c>
      <c r="D30" s="41">
        <f>IF(Paigutus!E23="","",Paigutus!E23)</f>
        <v>8207</v>
      </c>
    </row>
    <row r="31" spans="1:4" ht="14.25">
      <c r="A31" s="41">
        <v>22</v>
      </c>
      <c r="B31" s="41" t="str">
        <f>IF(Paigutus!C24="","",Paigutus!C24)</f>
        <v>Hansar</v>
      </c>
      <c r="C31" s="41" t="str">
        <f>IF(Paigutus!B24="","",Paigutus!B24)</f>
        <v>Tõnu</v>
      </c>
      <c r="D31" s="41">
        <f>IF(Paigutus!E24="","",Paigutus!E24)</f>
        <v>1684</v>
      </c>
    </row>
    <row r="32" spans="1:4" ht="14.25">
      <c r="A32" s="41">
        <v>23</v>
      </c>
      <c r="B32" s="41" t="str">
        <f>IF(Paigutus!C25="","",Paigutus!C25)</f>
        <v>Lepik</v>
      </c>
      <c r="C32" s="41" t="str">
        <f>IF(Paigutus!B25="","",Paigutus!B25)</f>
        <v>Hannes</v>
      </c>
      <c r="D32" s="41">
        <f>IF(Paigutus!E25="","",Paigutus!E25)</f>
        <v>9400</v>
      </c>
    </row>
    <row r="33" spans="1:4" ht="14.25">
      <c r="A33" s="41">
        <v>24</v>
      </c>
      <c r="B33" s="41" t="str">
        <f>IF(Paigutus!C26="","",Paigutus!C26)</f>
        <v>Roots</v>
      </c>
      <c r="C33" s="41" t="str">
        <f>IF(Paigutus!B26="","",Paigutus!B26)</f>
        <v>Raivo</v>
      </c>
      <c r="D33" s="41">
        <f>IF(Paigutus!E26="","",Paigutus!E26)</f>
        <v>3451</v>
      </c>
    </row>
    <row r="34" spans="1:4" ht="14.25">
      <c r="A34" s="41">
        <v>25</v>
      </c>
      <c r="B34" s="41" t="str">
        <f>IF(Paigutus!C27="","",Paigutus!C27)</f>
        <v>Hansar</v>
      </c>
      <c r="C34" s="41" t="str">
        <f>IF(Paigutus!B27="","",Paigutus!B27)</f>
        <v>Joosep</v>
      </c>
      <c r="D34" s="41">
        <f>IF(Paigutus!E27="","",Paigutus!E27)</f>
        <v>2100</v>
      </c>
    </row>
    <row r="35" spans="1:4" ht="14.25">
      <c r="A35" s="41">
        <v>26</v>
      </c>
      <c r="B35" s="41" t="str">
        <f>IF(Paigutus!C28="","",Paigutus!C28)</f>
        <v>Hansar</v>
      </c>
      <c r="C35" s="41" t="str">
        <f>IF(Paigutus!B28="","",Paigutus!B28)</f>
        <v>Heiki</v>
      </c>
      <c r="D35" s="41">
        <f>IF(Paigutus!E28="","",Paigutus!E28)</f>
        <v>299</v>
      </c>
    </row>
    <row r="36" spans="1:4" ht="14.25">
      <c r="A36" s="41">
        <v>27</v>
      </c>
      <c r="B36" s="41" t="str">
        <f>IF(Paigutus!C29="","",Paigutus!C29)</f>
        <v>Zapunov</v>
      </c>
      <c r="C36" s="41" t="str">
        <f>IF(Paigutus!B29="","",Paigutus!B29)</f>
        <v>Anatoli</v>
      </c>
      <c r="D36" s="41">
        <f>IF(Paigutus!E29="","",Paigutus!E29)</f>
        <v>10639</v>
      </c>
    </row>
    <row r="37" spans="1:4" ht="14.25">
      <c r="A37" s="41">
        <v>28</v>
      </c>
      <c r="B37" s="41" t="str">
        <f>IF(Paigutus!C30="","",Paigutus!C30)</f>
        <v>Soo</v>
      </c>
      <c r="C37" s="41" t="str">
        <f>IF(Paigutus!B30="","",Paigutus!B30)</f>
        <v>Aivar</v>
      </c>
      <c r="D37" s="41">
        <f>IF(Paigutus!E30="","",Paigutus!E30)</f>
        <v>10411</v>
      </c>
    </row>
    <row r="38" spans="1:4" ht="14.25">
      <c r="A38" s="41">
        <v>29</v>
      </c>
      <c r="B38" s="41" t="str">
        <f>IF(Paigutus!C31="","",Paigutus!C31)</f>
        <v>Koitla</v>
      </c>
      <c r="C38" s="41" t="str">
        <f>IF(Paigutus!B31="","",Paigutus!B31)</f>
        <v>Taivo</v>
      </c>
      <c r="D38" s="41">
        <f>IF(Paigutus!E31="","",Paigutus!E31)</f>
        <v>8740</v>
      </c>
    </row>
    <row r="39" spans="1:4" ht="14.25">
      <c r="A39" s="41">
        <v>30</v>
      </c>
      <c r="B39" s="41" t="str">
        <f>IF(Paigutus!C32="","",Paigutus!C32)</f>
        <v>Lill</v>
      </c>
      <c r="C39" s="41" t="str">
        <f>IF(Paigutus!B32="","",Paigutus!B32)</f>
        <v>Jako</v>
      </c>
      <c r="D39" s="41">
        <f>IF(Paigutus!E32="","",Paigutus!E32)</f>
        <v>10412</v>
      </c>
    </row>
    <row r="40" spans="1:4" ht="14.25">
      <c r="A40" s="41">
        <v>31</v>
      </c>
      <c r="B40" s="41" t="str">
        <f>IF(Paigutus!C33="","",Paigutus!C33)</f>
        <v>Bye</v>
      </c>
      <c r="C40" s="41" t="str">
        <f>IF(Paigutus!B33="","",Paigutus!B33)</f>
        <v>Bye</v>
      </c>
      <c r="D40" s="41">
        <f>IF(Paigutus!E33="","",Paigutus!E33)</f>
        <v>0</v>
      </c>
    </row>
    <row r="41" spans="1:4" ht="14.25">
      <c r="A41" s="41">
        <v>32</v>
      </c>
      <c r="B41" s="41" t="str">
        <f>IF(Paigutus!C34="","",Paigutus!C34)</f>
        <v>Bye</v>
      </c>
      <c r="C41" s="41" t="str">
        <f>IF(Paigutus!B34="","",Paigutus!B34)</f>
        <v>Bye</v>
      </c>
      <c r="D41" s="41">
        <f>IF(Paigutus!E34="","",Paigutus!E34)</f>
        <v>0</v>
      </c>
    </row>
    <row r="42" spans="1:8" s="26" customFormat="1" ht="15">
      <c r="A42" s="31" t="s">
        <v>92</v>
      </c>
      <c r="B42" s="31" t="s">
        <v>93</v>
      </c>
      <c r="C42" s="31" t="s">
        <v>94</v>
      </c>
      <c r="D42" s="37" t="s">
        <v>95</v>
      </c>
      <c r="E42" s="31" t="s">
        <v>96</v>
      </c>
      <c r="F42" s="37" t="s">
        <v>97</v>
      </c>
      <c r="G42" s="37" t="s">
        <v>98</v>
      </c>
      <c r="H42" s="37" t="s">
        <v>99</v>
      </c>
    </row>
    <row r="43" spans="1:8" ht="14.25">
      <c r="A43" s="41">
        <v>101</v>
      </c>
      <c r="B43" s="42"/>
      <c r="C43" s="42">
        <f>IF(D43="","",VLOOKUP(D43,Paigutus!$D:$H,3,FALSE))</f>
        <v>1</v>
      </c>
      <c r="D43" s="43" t="str">
        <f>IF(Mängud!E2="","",Mängud!E2)</f>
        <v>Antti Luigemaa</v>
      </c>
      <c r="E43" s="42">
        <f>IF(F43="","",VLOOKUP(F43,Paigutus!$D:$H,3,FALSE))</f>
        <v>31</v>
      </c>
      <c r="F43" s="43" t="str">
        <f>IF(D43="","",IF(D43=Mängud!C2,Mängud!B2,Mängud!C2))</f>
        <v>Bye Bye</v>
      </c>
      <c r="G43" s="43" t="str">
        <f>IF(Mängud!F2="","",Mängud!F2)</f>
        <v>w.o.</v>
      </c>
      <c r="H43" s="44"/>
    </row>
    <row r="44" spans="1:8" ht="14.25">
      <c r="A44" s="41">
        <v>102</v>
      </c>
      <c r="B44" s="42"/>
      <c r="C44" s="42">
        <f>IF(D44="","",VLOOKUP(D44,Paigutus!$D:$H,3,FALSE))</f>
        <v>17</v>
      </c>
      <c r="D44" s="43" t="str">
        <f>IF(Mängud!E3="","",Mängud!E3)</f>
        <v>Raigo Rommot</v>
      </c>
      <c r="E44" s="42">
        <f>IF(F44="","",VLOOKUP(F44,Paigutus!$D:$H,3,FALSE))</f>
        <v>16</v>
      </c>
      <c r="F44" s="43" t="str">
        <f>IF(D44="","",IF(D44=Mängud!C3,Mängud!B3,Mängud!C3))</f>
        <v>Kalle Kuuspalu</v>
      </c>
      <c r="G44" s="43" t="str">
        <f>IF(Mängud!F3="","",Mängud!F3)</f>
        <v>3:1</v>
      </c>
      <c r="H44" s="44"/>
    </row>
    <row r="45" spans="1:8" ht="14.25">
      <c r="A45" s="41">
        <v>103</v>
      </c>
      <c r="B45" s="42"/>
      <c r="C45" s="42">
        <f>IF(D45="","",VLOOKUP(D45,Paigutus!$D:$H,3,FALSE))</f>
        <v>9</v>
      </c>
      <c r="D45" s="43" t="str">
        <f>IF(Mängud!E4="","",Mängud!E4)</f>
        <v>Eduard Virkunen</v>
      </c>
      <c r="E45" s="42">
        <f>IF(F45="","",VLOOKUP(F45,Paigutus!$D:$H,3,FALSE))</f>
        <v>24</v>
      </c>
      <c r="F45" s="43" t="str">
        <f>IF(D45="","",IF(D45=Mängud!C4,Mängud!B4,Mängud!C4))</f>
        <v>Raivo Roots</v>
      </c>
      <c r="G45" s="43" t="str">
        <f>IF(Mängud!F4="","",Mängud!F4)</f>
        <v>3:0</v>
      </c>
      <c r="H45" s="44"/>
    </row>
    <row r="46" spans="1:8" ht="14.25">
      <c r="A46" s="41">
        <v>104</v>
      </c>
      <c r="B46" s="42"/>
      <c r="C46" s="42">
        <f>IF(D46="","",VLOOKUP(D46,Paigutus!$D:$H,3,FALSE))</f>
        <v>8</v>
      </c>
      <c r="D46" s="43" t="str">
        <f>IF(Mängud!E5="","",Mängud!E5)</f>
        <v>Veiko Ristissaar</v>
      </c>
      <c r="E46" s="42">
        <f>IF(F46="","",VLOOKUP(F46,Paigutus!$D:$H,3,FALSE))</f>
        <v>25</v>
      </c>
      <c r="F46" s="43" t="str">
        <f>IF(D46="","",IF(D46=Mängud!C5,Mängud!B5,Mängud!C5))</f>
        <v>Joosep Hansar</v>
      </c>
      <c r="G46" s="43" t="str">
        <f>IF(Mängud!F5="","",Mängud!F5)</f>
        <v>3:0</v>
      </c>
      <c r="H46" s="44"/>
    </row>
    <row r="47" spans="1:8" ht="14.25">
      <c r="A47" s="41">
        <v>105</v>
      </c>
      <c r="B47" s="42"/>
      <c r="C47" s="42">
        <f>IF(D47="","",VLOOKUP(D47,Paigutus!$D:$H,3,FALSE))</f>
        <v>5</v>
      </c>
      <c r="D47" s="43" t="str">
        <f>IF(Mängud!E6="","",Mängud!E6)</f>
        <v>Vladyslav Rybachok</v>
      </c>
      <c r="E47" s="42">
        <f>IF(F47="","",VLOOKUP(F47,Paigutus!$D:$H,3,FALSE))</f>
        <v>28</v>
      </c>
      <c r="F47" s="43" t="str">
        <f>IF(D47="","",IF(D47=Mängud!C6,Mängud!B6,Mängud!C6))</f>
        <v>Aivar Soo</v>
      </c>
      <c r="G47" s="43" t="str">
        <f>IF(Mängud!F6="","",Mängud!F6)</f>
        <v>3:0</v>
      </c>
      <c r="H47" s="44"/>
    </row>
    <row r="48" spans="1:8" ht="14.25">
      <c r="A48" s="41">
        <v>106</v>
      </c>
      <c r="B48" s="42"/>
      <c r="C48" s="42">
        <f>IF(D48="","",VLOOKUP(D48,Paigutus!$D:$H,3,FALSE))</f>
        <v>12</v>
      </c>
      <c r="D48" s="43" t="str">
        <f>IF(Mängud!E7="","",Mängud!E7)</f>
        <v>Reino Ristissaar</v>
      </c>
      <c r="E48" s="42">
        <f>IF(F48="","",VLOOKUP(F48,Paigutus!$D:$H,3,FALSE))</f>
        <v>21</v>
      </c>
      <c r="F48" s="43" t="str">
        <f>IF(D48="","",IF(D48=Mängud!C7,Mängud!B7,Mängud!C7))</f>
        <v>Arvi Merigan</v>
      </c>
      <c r="G48" s="43" t="str">
        <f>IF(Mängud!F7="","",Mängud!F7)</f>
        <v>3:0</v>
      </c>
      <c r="H48" s="44"/>
    </row>
    <row r="49" spans="1:8" ht="14.25">
      <c r="A49" s="41">
        <v>107</v>
      </c>
      <c r="B49" s="42"/>
      <c r="C49" s="42">
        <f>IF(D49="","",VLOOKUP(D49,Paigutus!$D:$H,3,FALSE))</f>
        <v>13</v>
      </c>
      <c r="D49" s="43" t="str">
        <f>IF(Mängud!E8="","",Mängud!E8)</f>
        <v>Jimmy Lindborg</v>
      </c>
      <c r="E49" s="42">
        <f>IF(F49="","",VLOOKUP(F49,Paigutus!$D:$H,3,FALSE))</f>
        <v>20</v>
      </c>
      <c r="F49" s="43" t="str">
        <f>IF(D49="","",IF(D49=Mängud!C8,Mängud!B8,Mängud!C8))</f>
        <v>Alex Rahuoja</v>
      </c>
      <c r="G49" s="43" t="str">
        <f>IF(Mängud!F8="","",Mängud!F8)</f>
        <v>3:2</v>
      </c>
      <c r="H49" s="44"/>
    </row>
    <row r="50" spans="1:8" ht="14.25">
      <c r="A50" s="41">
        <v>108</v>
      </c>
      <c r="B50" s="42"/>
      <c r="C50" s="42">
        <f>IF(D50="","",VLOOKUP(D50,Paigutus!$D:$H,3,FALSE))</f>
        <v>4</v>
      </c>
      <c r="D50" s="43" t="str">
        <f>IF(Mängud!E9="","",Mängud!E9)</f>
        <v>Urmas Sinisalu</v>
      </c>
      <c r="E50" s="42">
        <f>IF(F50="","",VLOOKUP(F50,Paigutus!$D:$H,3,FALSE))</f>
        <v>29</v>
      </c>
      <c r="F50" s="43" t="str">
        <f>IF(D50="","",IF(D50=Mängud!C9,Mängud!B9,Mängud!C9))</f>
        <v>Taivo Koitla</v>
      </c>
      <c r="G50" s="43" t="str">
        <f>IF(Mängud!F9="","",Mängud!F9)</f>
        <v>3:0</v>
      </c>
      <c r="H50" s="44"/>
    </row>
    <row r="51" spans="1:8" ht="14.25">
      <c r="A51" s="41">
        <v>109</v>
      </c>
      <c r="B51" s="42"/>
      <c r="C51" s="42">
        <f>IF(D51="","",VLOOKUP(D51,Paigutus!$D:$H,3,FALSE))</f>
        <v>3</v>
      </c>
      <c r="D51" s="43" t="str">
        <f>IF(Mängud!E10="","",Mängud!E10)</f>
        <v>Andres Somer</v>
      </c>
      <c r="E51" s="42">
        <f>IF(F51="","",VLOOKUP(F51,Paigutus!$D:$H,3,FALSE))</f>
        <v>30</v>
      </c>
      <c r="F51" s="43" t="str">
        <f>IF(D51="","",IF(D51=Mängud!C10,Mängud!B10,Mängud!C10))</f>
        <v>Jako Lill</v>
      </c>
      <c r="G51" s="43" t="str">
        <f>IF(Mängud!F10="","",Mängud!F10)</f>
        <v>3:0</v>
      </c>
      <c r="H51" s="44"/>
    </row>
    <row r="52" spans="1:8" ht="14.25">
      <c r="A52" s="41">
        <v>110</v>
      </c>
      <c r="B52" s="42"/>
      <c r="C52" s="42">
        <f>IF(D52="","",VLOOKUP(D52,Paigutus!$D:$H,3,FALSE))</f>
        <v>14</v>
      </c>
      <c r="D52" s="43" t="str">
        <f>IF(Mängud!E11="","",Mängud!E11)</f>
        <v>Ain Raid</v>
      </c>
      <c r="E52" s="42">
        <f>IF(F52="","",VLOOKUP(F52,Paigutus!$D:$H,3,FALSE))</f>
        <v>19</v>
      </c>
      <c r="F52" s="43" t="str">
        <f>IF(D52="","",IF(D52=Mängud!C11,Mängud!B11,Mängud!C11))</f>
        <v>Taavi Miku</v>
      </c>
      <c r="G52" s="43" t="str">
        <f>IF(Mängud!F11="","",Mängud!F11)</f>
        <v>3:0</v>
      </c>
      <c r="H52" s="44"/>
    </row>
    <row r="53" spans="1:8" ht="14.25">
      <c r="A53" s="41">
        <v>111</v>
      </c>
      <c r="B53" s="42"/>
      <c r="C53" s="42">
        <f>IF(D53="","",VLOOKUP(D53,Paigutus!$D:$H,3,FALSE))</f>
        <v>11</v>
      </c>
      <c r="D53" s="43" t="str">
        <f>IF(Mängud!E12="","",Mängud!E12)</f>
        <v>Kalju Kalda</v>
      </c>
      <c r="E53" s="42">
        <f>IF(F53="","",VLOOKUP(F53,Paigutus!$D:$H,3,FALSE))</f>
        <v>22</v>
      </c>
      <c r="F53" s="43" t="str">
        <f>IF(D53="","",IF(D53=Mängud!C12,Mängud!B12,Mängud!C12))</f>
        <v>Tõnu Hansar</v>
      </c>
      <c r="G53" s="43" t="str">
        <f>IF(Mängud!F12="","",Mängud!F12)</f>
        <v>3:1</v>
      </c>
      <c r="H53" s="44"/>
    </row>
    <row r="54" spans="1:8" ht="14.25">
      <c r="A54" s="41">
        <v>112</v>
      </c>
      <c r="B54" s="42"/>
      <c r="C54" s="42">
        <f>IF(D54="","",VLOOKUP(D54,Paigutus!$D:$H,3,FALSE))</f>
        <v>6</v>
      </c>
      <c r="D54" s="43" t="str">
        <f>IF(Mängud!E13="","",Mängud!E13)</f>
        <v>Mykhailo Plokhotniuk</v>
      </c>
      <c r="E54" s="42">
        <f>IF(F54="","",VLOOKUP(F54,Paigutus!$D:$H,3,FALSE))</f>
        <v>27</v>
      </c>
      <c r="F54" s="43" t="str">
        <f>IF(D54="","",IF(D54=Mängud!C13,Mängud!B13,Mängud!C13))</f>
        <v>Anatoli Zapunov</v>
      </c>
      <c r="G54" s="43" t="str">
        <f>IF(Mängud!F13="","",Mängud!F13)</f>
        <v>3:0</v>
      </c>
      <c r="H54" s="44"/>
    </row>
    <row r="55" spans="1:8" ht="14.25">
      <c r="A55" s="41">
        <v>113</v>
      </c>
      <c r="B55" s="42"/>
      <c r="C55" s="42">
        <f>IF(D55="","",VLOOKUP(D55,Paigutus!$D:$H,3,FALSE))</f>
        <v>7</v>
      </c>
      <c r="D55" s="43" t="str">
        <f>IF(Mängud!E14="","",Mängud!E14)</f>
        <v>Imre Korsen</v>
      </c>
      <c r="E55" s="42">
        <f>IF(F55="","",VLOOKUP(F55,Paigutus!$D:$H,3,FALSE))</f>
        <v>26</v>
      </c>
      <c r="F55" s="43" t="str">
        <f>IF(D55="","",IF(D55=Mängud!C14,Mängud!B14,Mängud!C14))</f>
        <v>Heiki Hansar</v>
      </c>
      <c r="G55" s="43" t="str">
        <f>IF(Mängud!F14="","",Mängud!F14)</f>
        <v>3:0</v>
      </c>
      <c r="H55" s="44"/>
    </row>
    <row r="56" spans="1:8" ht="14.25">
      <c r="A56" s="41">
        <v>114</v>
      </c>
      <c r="B56" s="42"/>
      <c r="C56" s="42">
        <f>IF(D56="","",VLOOKUP(D56,Paigutus!$D:$H,3,FALSE))</f>
        <v>10</v>
      </c>
      <c r="D56" s="43" t="str">
        <f>IF(Mängud!E15="","",Mängud!E15)</f>
        <v>Keit Reinsalu</v>
      </c>
      <c r="E56" s="42">
        <f>IF(F56="","",VLOOKUP(F56,Paigutus!$D:$H,3,FALSE))</f>
        <v>23</v>
      </c>
      <c r="F56" s="43" t="str">
        <f>IF(D56="","",IF(D56=Mängud!C15,Mängud!B15,Mängud!C15))</f>
        <v>Hannes Lepik</v>
      </c>
      <c r="G56" s="43" t="str">
        <f>IF(Mängud!F15="","",Mängud!F15)</f>
        <v>3:0</v>
      </c>
      <c r="H56" s="44"/>
    </row>
    <row r="57" spans="1:8" ht="14.25">
      <c r="A57" s="41">
        <v>115</v>
      </c>
      <c r="B57" s="42"/>
      <c r="C57" s="42">
        <f>IF(D57="","",VLOOKUP(D57,Paigutus!$D:$H,3,FALSE))</f>
        <v>18</v>
      </c>
      <c r="D57" s="43" t="str">
        <f>IF(Mängud!E16="","",Mängud!E16)</f>
        <v>Marko Perendi</v>
      </c>
      <c r="E57" s="42">
        <f>IF(F57="","",VLOOKUP(F57,Paigutus!$D:$H,3,FALSE))</f>
        <v>15</v>
      </c>
      <c r="F57" s="43" t="str">
        <f>IF(D57="","",IF(D57=Mängud!C16,Mängud!B16,Mängud!C16))</f>
        <v>Heikki Sool</v>
      </c>
      <c r="G57" s="43" t="str">
        <f>IF(Mängud!F16="","",Mängud!F16)</f>
        <v>3:1</v>
      </c>
      <c r="H57" s="44"/>
    </row>
    <row r="58" spans="1:8" ht="14.25">
      <c r="A58" s="41">
        <v>116</v>
      </c>
      <c r="B58" s="42"/>
      <c r="C58" s="42">
        <f>IF(D58="","",VLOOKUP(D58,Paigutus!$D:$H,3,FALSE))</f>
        <v>2</v>
      </c>
      <c r="D58" s="43" t="str">
        <f>IF(Mängud!E17="","",Mängud!E17)</f>
        <v>Allan Salla</v>
      </c>
      <c r="E58" s="42">
        <f>IF(F58="","",VLOOKUP(F58,Paigutus!$D:$H,3,FALSE))</f>
        <v>31</v>
      </c>
      <c r="F58" s="43" t="str">
        <f>IF(D58="","",IF(D58=Mängud!C17,Mängud!B17,Mängud!C17))</f>
        <v>Bye Bye</v>
      </c>
      <c r="G58" s="43" t="str">
        <f>IF(Mängud!F17="","",Mängud!F17)</f>
        <v>w.o.</v>
      </c>
      <c r="H58" s="44"/>
    </row>
    <row r="59" spans="1:8" ht="14.25">
      <c r="A59" s="41">
        <v>117</v>
      </c>
      <c r="B59" s="42"/>
      <c r="C59" s="42">
        <f>IF(D59="","",VLOOKUP(D59,Paigutus!$D:$H,3,FALSE))</f>
        <v>1</v>
      </c>
      <c r="D59" s="43" t="str">
        <f>IF(Mängud!E18="","",Mängud!E18)</f>
        <v>Antti Luigemaa</v>
      </c>
      <c r="E59" s="42">
        <f>IF(F59="","",VLOOKUP(F59,Paigutus!$D:$H,3,FALSE))</f>
        <v>17</v>
      </c>
      <c r="F59" s="43" t="str">
        <f>IF(D59="","",IF(D59=Mängud!C18,Mängud!B18,Mängud!C18))</f>
        <v>Raigo Rommot</v>
      </c>
      <c r="G59" s="43" t="str">
        <f>IF(Mängud!F18="","",Mängud!F18)</f>
        <v>3:1</v>
      </c>
      <c r="H59" s="44"/>
    </row>
    <row r="60" spans="1:8" ht="14.25">
      <c r="A60" s="41">
        <v>118</v>
      </c>
      <c r="B60" s="42"/>
      <c r="C60" s="42">
        <f>IF(D60="","",VLOOKUP(D60,Paigutus!$D:$H,3,FALSE))</f>
        <v>8</v>
      </c>
      <c r="D60" s="43" t="str">
        <f>IF(Mängud!E19="","",Mängud!E19)</f>
        <v>Veiko Ristissaar</v>
      </c>
      <c r="E60" s="42">
        <f>IF(F60="","",VLOOKUP(F60,Paigutus!$D:$H,3,FALSE))</f>
        <v>9</v>
      </c>
      <c r="F60" s="43" t="str">
        <f>IF(D60="","",IF(D60=Mängud!C19,Mängud!B19,Mängud!C19))</f>
        <v>Eduard Virkunen</v>
      </c>
      <c r="G60" s="43" t="str">
        <f>IF(Mängud!F19="","",Mängud!F19)</f>
        <v>3:2</v>
      </c>
      <c r="H60" s="44"/>
    </row>
    <row r="61" spans="1:8" ht="14.25">
      <c r="A61" s="41">
        <v>119</v>
      </c>
      <c r="B61" s="42"/>
      <c r="C61" s="42">
        <f>IF(D61="","",VLOOKUP(D61,Paigutus!$D:$H,3,FALSE))</f>
        <v>5</v>
      </c>
      <c r="D61" s="43" t="str">
        <f>IF(Mängud!E20="","",Mängud!E20)</f>
        <v>Vladyslav Rybachok</v>
      </c>
      <c r="E61" s="42">
        <f>IF(F61="","",VLOOKUP(F61,Paigutus!$D:$H,3,FALSE))</f>
        <v>12</v>
      </c>
      <c r="F61" s="43" t="str">
        <f>IF(D61="","",IF(D61=Mängud!C20,Mängud!B20,Mängud!C20))</f>
        <v>Reino Ristissaar</v>
      </c>
      <c r="G61" s="43" t="str">
        <f>IF(Mängud!F20="","",Mängud!F20)</f>
        <v>3:1</v>
      </c>
      <c r="H61" s="44"/>
    </row>
    <row r="62" spans="1:8" ht="14.25">
      <c r="A62" s="41">
        <v>120</v>
      </c>
      <c r="B62" s="42"/>
      <c r="C62" s="42">
        <f>IF(D62="","",VLOOKUP(D62,Paigutus!$D:$H,3,FALSE))</f>
        <v>4</v>
      </c>
      <c r="D62" s="43" t="str">
        <f>IF(Mängud!E21="","",Mängud!E21)</f>
        <v>Urmas Sinisalu</v>
      </c>
      <c r="E62" s="42">
        <f>IF(F62="","",VLOOKUP(F62,Paigutus!$D:$H,3,FALSE))</f>
        <v>13</v>
      </c>
      <c r="F62" s="43" t="str">
        <f>IF(D62="","",IF(D62=Mängud!C21,Mängud!B21,Mängud!C21))</f>
        <v>Jimmy Lindborg</v>
      </c>
      <c r="G62" s="43" t="str">
        <f>IF(Mängud!F21="","",Mängud!F21)</f>
        <v>3:0</v>
      </c>
      <c r="H62" s="44"/>
    </row>
    <row r="63" spans="1:8" ht="14.25">
      <c r="A63" s="41">
        <v>121</v>
      </c>
      <c r="B63" s="42"/>
      <c r="C63" s="42">
        <f>IF(D63="","",VLOOKUP(D63,Paigutus!$D:$H,3,FALSE))</f>
        <v>3</v>
      </c>
      <c r="D63" s="43" t="str">
        <f>IF(Mängud!E22="","",Mängud!E22)</f>
        <v>Andres Somer</v>
      </c>
      <c r="E63" s="42">
        <f>IF(F63="","",VLOOKUP(F63,Paigutus!$D:$H,3,FALSE))</f>
        <v>14</v>
      </c>
      <c r="F63" s="43" t="str">
        <f>IF(D63="","",IF(D63=Mängud!C22,Mängud!B22,Mängud!C22))</f>
        <v>Ain Raid</v>
      </c>
      <c r="G63" s="43" t="str">
        <f>IF(Mängud!F22="","",Mängud!F22)</f>
        <v>3:0</v>
      </c>
      <c r="H63" s="44"/>
    </row>
    <row r="64" spans="1:8" ht="14.25">
      <c r="A64" s="41">
        <v>122</v>
      </c>
      <c r="B64" s="42"/>
      <c r="C64" s="42">
        <f>IF(D64="","",VLOOKUP(D64,Paigutus!$D:$H,3,FALSE))</f>
        <v>6</v>
      </c>
      <c r="D64" s="43" t="str">
        <f>IF(Mängud!E23="","",Mängud!E23)</f>
        <v>Mykhailo Plokhotniuk</v>
      </c>
      <c r="E64" s="42">
        <f>IF(F64="","",VLOOKUP(F64,Paigutus!$D:$H,3,FALSE))</f>
        <v>11</v>
      </c>
      <c r="F64" s="43" t="str">
        <f>IF(D64="","",IF(D64=Mängud!C23,Mängud!B23,Mängud!C23))</f>
        <v>Kalju Kalda</v>
      </c>
      <c r="G64" s="43" t="str">
        <f>IF(Mängud!F23="","",Mängud!F23)</f>
        <v>3:1</v>
      </c>
      <c r="H64" s="44"/>
    </row>
    <row r="65" spans="1:8" ht="14.25">
      <c r="A65" s="41">
        <v>123</v>
      </c>
      <c r="B65" s="42"/>
      <c r="C65" s="42">
        <f>IF(D65="","",VLOOKUP(D65,Paigutus!$D:$H,3,FALSE))</f>
        <v>7</v>
      </c>
      <c r="D65" s="43" t="str">
        <f>IF(Mängud!E24="","",Mängud!E24)</f>
        <v>Imre Korsen</v>
      </c>
      <c r="E65" s="42">
        <f>IF(F65="","",VLOOKUP(F65,Paigutus!$D:$H,3,FALSE))</f>
        <v>10</v>
      </c>
      <c r="F65" s="43" t="str">
        <f>IF(D65="","",IF(D65=Mängud!C24,Mängud!B24,Mängud!C24))</f>
        <v>Keit Reinsalu</v>
      </c>
      <c r="G65" s="43" t="str">
        <f>IF(Mängud!F24="","",Mängud!F24)</f>
        <v>3:1</v>
      </c>
      <c r="H65" s="44"/>
    </row>
    <row r="66" spans="1:8" ht="14.25">
      <c r="A66" s="41">
        <v>124</v>
      </c>
      <c r="B66" s="42"/>
      <c r="C66" s="42">
        <f>IF(D66="","",VLOOKUP(D66,Paigutus!$D:$H,3,FALSE))</f>
        <v>2</v>
      </c>
      <c r="D66" s="43" t="str">
        <f>IF(Mängud!E25="","",Mängud!E25)</f>
        <v>Allan Salla</v>
      </c>
      <c r="E66" s="42">
        <f>IF(F66="","",VLOOKUP(F66,Paigutus!$D:$H,3,FALSE))</f>
        <v>18</v>
      </c>
      <c r="F66" s="43" t="str">
        <f>IF(D66="","",IF(D66=Mängud!C25,Mängud!B25,Mängud!C25))</f>
        <v>Marko Perendi</v>
      </c>
      <c r="G66" s="43" t="str">
        <f>IF(Mängud!F25="","",Mängud!F25)</f>
        <v>3:0</v>
      </c>
      <c r="H66" s="44"/>
    </row>
    <row r="67" spans="1:8" ht="14.25">
      <c r="A67" s="41">
        <v>125</v>
      </c>
      <c r="B67" s="42"/>
      <c r="C67" s="42">
        <f>IF(D67="","",VLOOKUP(D67,Paigutus!$D:$H,3,FALSE))</f>
        <v>19</v>
      </c>
      <c r="D67" s="43" t="str">
        <f>IF(Mängud!E26="","",Mängud!E26)</f>
        <v>Taavi Miku</v>
      </c>
      <c r="E67" s="42">
        <f>IF(F67="","",VLOOKUP(F67,Paigutus!$D:$H,3,FALSE))</f>
        <v>30</v>
      </c>
      <c r="F67" s="43" t="str">
        <f>IF(D67="","",IF(D67=Mängud!C26,Mängud!B26,Mängud!C26))</f>
        <v>Jako Lill</v>
      </c>
      <c r="G67" s="43" t="str">
        <f>IF(Mängud!F26="","",Mängud!F26)</f>
        <v>3:0</v>
      </c>
      <c r="H67" s="44"/>
    </row>
    <row r="68" spans="1:8" ht="14.25">
      <c r="A68" s="41">
        <v>126</v>
      </c>
      <c r="B68" s="42"/>
      <c r="C68" s="42">
        <f>IF(D68="","",VLOOKUP(D68,Paigutus!$D:$H,3,FALSE))</f>
        <v>22</v>
      </c>
      <c r="D68" s="43" t="str">
        <f>IF(Mängud!E27="","",Mängud!E27)</f>
        <v>Tõnu Hansar</v>
      </c>
      <c r="E68" s="42">
        <f>IF(F68="","",VLOOKUP(F68,Paigutus!$D:$H,3,FALSE))</f>
        <v>27</v>
      </c>
      <c r="F68" s="43" t="str">
        <f>IF(D68="","",IF(D68=Mängud!C27,Mängud!B27,Mängud!C27))</f>
        <v>Anatoli Zapunov</v>
      </c>
      <c r="G68" s="43" t="str">
        <f>IF(Mängud!F27="","",Mängud!F27)</f>
        <v>3:1</v>
      </c>
      <c r="H68" s="44"/>
    </row>
    <row r="69" spans="1:8" ht="14.25">
      <c r="A69" s="41">
        <v>127</v>
      </c>
      <c r="B69" s="42"/>
      <c r="C69" s="42">
        <f>IF(D69="","",VLOOKUP(D69,Paigutus!$D:$H,3,FALSE))</f>
        <v>23</v>
      </c>
      <c r="D69" s="43" t="str">
        <f>IF(Mängud!E28="","",Mängud!E28)</f>
        <v>Hannes Lepik</v>
      </c>
      <c r="E69" s="42">
        <f>IF(F69="","",VLOOKUP(F69,Paigutus!$D:$H,3,FALSE))</f>
        <v>26</v>
      </c>
      <c r="F69" s="43" t="str">
        <f>IF(D69="","",IF(D69=Mängud!C28,Mängud!B28,Mängud!C28))</f>
        <v>Heiki Hansar</v>
      </c>
      <c r="G69" s="43" t="str">
        <f>IF(Mängud!F28="","",Mängud!F28)</f>
        <v>3:1</v>
      </c>
      <c r="H69" s="44"/>
    </row>
    <row r="70" spans="1:8" ht="14.25">
      <c r="A70" s="41">
        <v>128</v>
      </c>
      <c r="B70" s="42"/>
      <c r="C70" s="42">
        <f>IF(D70="","",VLOOKUP(D70,Paigutus!$D:$H,3,FALSE))</f>
        <v>15</v>
      </c>
      <c r="D70" s="43" t="str">
        <f>IF(Mängud!E29="","",Mängud!E29)</f>
        <v>Heikki Sool</v>
      </c>
      <c r="E70" s="42">
        <f>IF(F70="","",VLOOKUP(F70,Paigutus!$D:$H,3,FALSE))</f>
        <v>31</v>
      </c>
      <c r="F70" s="43" t="str">
        <f>IF(D70="","",IF(D70=Mängud!C29,Mängud!B29,Mängud!C29))</f>
        <v>Bye Bye</v>
      </c>
      <c r="G70" s="43" t="str">
        <f>IF(Mängud!F29="","",Mängud!F29)</f>
        <v>w.o.</v>
      </c>
      <c r="H70" s="44"/>
    </row>
    <row r="71" spans="1:8" ht="14.25">
      <c r="A71" s="41">
        <v>129</v>
      </c>
      <c r="B71" s="42"/>
      <c r="C71" s="42">
        <f>IF(D71="","",VLOOKUP(D71,Paigutus!$D:$H,3,FALSE))</f>
        <v>16</v>
      </c>
      <c r="D71" s="43" t="str">
        <f>IF(Mängud!E30="","",Mängud!E30)</f>
        <v>Kalle Kuuspalu</v>
      </c>
      <c r="E71" s="42">
        <f>IF(F71="","",VLOOKUP(F71,Paigutus!$D:$H,3,FALSE))</f>
        <v>31</v>
      </c>
      <c r="F71" s="43" t="str">
        <f>IF(D71="","",IF(D71=Mängud!C30,Mängud!B30,Mängud!C30))</f>
        <v>Bye Bye</v>
      </c>
      <c r="G71" s="43" t="str">
        <f>IF(Mängud!F30="","",Mängud!F30)</f>
        <v>w.o.</v>
      </c>
      <c r="H71" s="44"/>
    </row>
    <row r="72" spans="1:8" ht="14.25">
      <c r="A72" s="41">
        <v>130</v>
      </c>
      <c r="B72" s="42"/>
      <c r="C72" s="42">
        <f>IF(D72="","",VLOOKUP(D72,Paigutus!$D:$H,3,FALSE))</f>
        <v>24</v>
      </c>
      <c r="D72" s="43" t="str">
        <f>IF(Mängud!E31="","",Mängud!E31)</f>
        <v>Raivo Roots</v>
      </c>
      <c r="E72" s="42">
        <f>IF(F72="","",VLOOKUP(F72,Paigutus!$D:$H,3,FALSE))</f>
        <v>25</v>
      </c>
      <c r="F72" s="43" t="str">
        <f>IF(D72="","",IF(D72=Mängud!C31,Mängud!B31,Mängud!C31))</f>
        <v>Joosep Hansar</v>
      </c>
      <c r="G72" s="43" t="str">
        <f>IF(Mängud!F31="","",Mängud!F31)</f>
        <v>3:0</v>
      </c>
      <c r="H72" s="44"/>
    </row>
    <row r="73" spans="1:8" ht="14.25">
      <c r="A73" s="41">
        <v>131</v>
      </c>
      <c r="B73" s="42"/>
      <c r="C73" s="42">
        <f>IF(D73="","",VLOOKUP(D73,Paigutus!$D:$H,3,FALSE))</f>
        <v>21</v>
      </c>
      <c r="D73" s="43" t="str">
        <f>IF(Mängud!E32="","",Mängud!E32)</f>
        <v>Arvi Merigan</v>
      </c>
      <c r="E73" s="42">
        <f>IF(F73="","",VLOOKUP(F73,Paigutus!$D:$H,3,FALSE))</f>
        <v>28</v>
      </c>
      <c r="F73" s="43" t="str">
        <f>IF(D73="","",IF(D73=Mängud!C32,Mängud!B32,Mängud!C32))</f>
        <v>Aivar Soo</v>
      </c>
      <c r="G73" s="43" t="str">
        <f>IF(Mängud!F32="","",Mängud!F32)</f>
        <v>3:1</v>
      </c>
      <c r="H73" s="44"/>
    </row>
    <row r="74" spans="1:8" ht="14.25">
      <c r="A74" s="41">
        <v>132</v>
      </c>
      <c r="B74" s="42"/>
      <c r="C74" s="42">
        <f>IF(D74="","",VLOOKUP(D74,Paigutus!$D:$H,3,FALSE))</f>
        <v>20</v>
      </c>
      <c r="D74" s="43" t="str">
        <f>IF(Mängud!E33="","",Mängud!E33)</f>
        <v>Alex Rahuoja</v>
      </c>
      <c r="E74" s="42">
        <f>IF(F74="","",VLOOKUP(F74,Paigutus!$D:$H,3,FALSE))</f>
        <v>29</v>
      </c>
      <c r="F74" s="43" t="str">
        <f>IF(D74="","",IF(D74=Mängud!C33,Mängud!B33,Mängud!C33))</f>
        <v>Taivo Koitla</v>
      </c>
      <c r="G74" s="43" t="str">
        <f>IF(Mängud!F33="","",Mängud!F33)</f>
        <v>3:0</v>
      </c>
      <c r="H74" s="44"/>
    </row>
    <row r="75" spans="1:8" ht="14.25">
      <c r="A75" s="41">
        <v>133</v>
      </c>
      <c r="B75" s="42"/>
      <c r="C75" s="42">
        <f>IF(D75="","",VLOOKUP(D75,Paigutus!$D:$H,3,FALSE))</f>
        <v>13</v>
      </c>
      <c r="D75" s="43" t="str">
        <f>IF(Mängud!E34="","",Mängud!E34)</f>
        <v>Jimmy Lindborg</v>
      </c>
      <c r="E75" s="42">
        <f>IF(F75="","",VLOOKUP(F75,Paigutus!$D:$H,3,FALSE))</f>
        <v>19</v>
      </c>
      <c r="F75" s="43" t="str">
        <f>IF(D75="","",IF(D75=Mängud!C34,Mängud!B34,Mängud!C34))</f>
        <v>Taavi Miku</v>
      </c>
      <c r="G75" s="43" t="str">
        <f>IF(Mängud!F34="","",Mängud!F34)</f>
        <v>3:1</v>
      </c>
      <c r="H75" s="44"/>
    </row>
    <row r="76" spans="1:8" ht="14.25">
      <c r="A76" s="41">
        <v>134</v>
      </c>
      <c r="B76" s="42"/>
      <c r="C76" s="42">
        <f>IF(D76="","",VLOOKUP(D76,Paigutus!$D:$H,3,FALSE))</f>
        <v>22</v>
      </c>
      <c r="D76" s="43" t="str">
        <f>IF(Mängud!E35="","",Mängud!E35)</f>
        <v>Tõnu Hansar</v>
      </c>
      <c r="E76" s="42">
        <f>IF(F76="","",VLOOKUP(F76,Paigutus!$D:$H,3,FALSE))</f>
        <v>12</v>
      </c>
      <c r="F76" s="43" t="str">
        <f>IF(D76="","",IF(D76=Mängud!C35,Mängud!B35,Mängud!C35))</f>
        <v>Reino Ristissaar</v>
      </c>
      <c r="G76" s="43" t="str">
        <f>IF(Mängud!F35="","",Mängud!F35)</f>
        <v>3:2</v>
      </c>
      <c r="H76" s="44"/>
    </row>
    <row r="77" spans="1:8" ht="14.25">
      <c r="A77" s="41">
        <v>135</v>
      </c>
      <c r="B77" s="42"/>
      <c r="C77" s="42">
        <f>IF(D77="","",VLOOKUP(D77,Paigutus!$D:$H,3,FALSE))</f>
        <v>9</v>
      </c>
      <c r="D77" s="43" t="str">
        <f>IF(Mängud!E36="","",Mängud!E36)</f>
        <v>Eduard Virkunen</v>
      </c>
      <c r="E77" s="42">
        <f>IF(F77="","",VLOOKUP(F77,Paigutus!$D:$H,3,FALSE))</f>
        <v>23</v>
      </c>
      <c r="F77" s="43" t="str">
        <f>IF(D77="","",IF(D77=Mängud!C36,Mängud!B36,Mängud!C36))</f>
        <v>Hannes Lepik</v>
      </c>
      <c r="G77" s="43" t="str">
        <f>IF(Mängud!F36="","",Mängud!F36)</f>
        <v>3:1</v>
      </c>
      <c r="H77" s="44"/>
    </row>
    <row r="78" spans="1:8" ht="14.25">
      <c r="A78" s="41">
        <v>136</v>
      </c>
      <c r="B78" s="42"/>
      <c r="C78" s="42">
        <f>IF(D78="","",VLOOKUP(D78,Paigutus!$D:$H,3,FALSE))</f>
        <v>15</v>
      </c>
      <c r="D78" s="43" t="str">
        <f>IF(Mängud!E37="","",Mängud!E37)</f>
        <v>Heikki Sool</v>
      </c>
      <c r="E78" s="42">
        <f>IF(F78="","",VLOOKUP(F78,Paigutus!$D:$H,3,FALSE))</f>
        <v>17</v>
      </c>
      <c r="F78" s="43" t="str">
        <f>IF(D78="","",IF(D78=Mängud!C37,Mängud!B37,Mängud!C37))</f>
        <v>Raigo Rommot</v>
      </c>
      <c r="G78" s="43" t="str">
        <f>IF(Mängud!F37="","",Mängud!F37)</f>
        <v>3:1</v>
      </c>
      <c r="H78" s="44"/>
    </row>
    <row r="79" spans="1:8" ht="14.25">
      <c r="A79" s="41">
        <v>137</v>
      </c>
      <c r="B79" s="42"/>
      <c r="C79" s="42">
        <f>IF(D79="","",VLOOKUP(D79,Paigutus!$D:$H,3,FALSE))</f>
        <v>18</v>
      </c>
      <c r="D79" s="43" t="str">
        <f>IF(Mängud!E38="","",Mängud!E38)</f>
        <v>Marko Perendi</v>
      </c>
      <c r="E79" s="42">
        <f>IF(F79="","",VLOOKUP(F79,Paigutus!$D:$H,3,FALSE))</f>
        <v>16</v>
      </c>
      <c r="F79" s="43" t="str">
        <f>IF(D79="","",IF(D79=Mängud!C38,Mängud!B38,Mängud!C38))</f>
        <v>Kalle Kuuspalu</v>
      </c>
      <c r="G79" s="43" t="str">
        <f>IF(Mängud!F38="","",Mängud!F38)</f>
        <v>3:0</v>
      </c>
      <c r="H79" s="44"/>
    </row>
    <row r="80" spans="1:8" ht="14.25">
      <c r="A80" s="41">
        <v>138</v>
      </c>
      <c r="B80" s="42"/>
      <c r="C80" s="42">
        <f>IF(D80="","",VLOOKUP(D80,Paigutus!$D:$H,3,FALSE))</f>
        <v>10</v>
      </c>
      <c r="D80" s="43" t="str">
        <f>IF(Mängud!E39="","",Mängud!E39)</f>
        <v>Keit Reinsalu</v>
      </c>
      <c r="E80" s="42">
        <f>IF(F80="","",VLOOKUP(F80,Paigutus!$D:$H,3,FALSE))</f>
        <v>24</v>
      </c>
      <c r="F80" s="43" t="str">
        <f>IF(D80="","",IF(D80=Mängud!C39,Mängud!B39,Mängud!C39))</f>
        <v>Raivo Roots</v>
      </c>
      <c r="G80" s="43" t="str">
        <f>IF(Mängud!F39="","",Mängud!F39)</f>
        <v>3:0</v>
      </c>
      <c r="H80" s="44"/>
    </row>
    <row r="81" spans="1:8" ht="14.25">
      <c r="A81" s="41">
        <v>139</v>
      </c>
      <c r="B81" s="42"/>
      <c r="C81" s="42">
        <f>IF(D81="","",VLOOKUP(D81,Paigutus!$D:$H,3,FALSE))</f>
        <v>11</v>
      </c>
      <c r="D81" s="43" t="str">
        <f>IF(Mängud!E40="","",Mängud!E40)</f>
        <v>Kalju Kalda</v>
      </c>
      <c r="E81" s="42">
        <f>IF(F81="","",VLOOKUP(F81,Paigutus!$D:$H,3,FALSE))</f>
        <v>21</v>
      </c>
      <c r="F81" s="43" t="str">
        <f>IF(D81="","",IF(D81=Mängud!C40,Mängud!B40,Mängud!C40))</f>
        <v>Arvi Merigan</v>
      </c>
      <c r="G81" s="43" t="str">
        <f>IF(Mängud!F40="","",Mängud!F40)</f>
        <v>3:0</v>
      </c>
      <c r="H81" s="44"/>
    </row>
    <row r="82" spans="1:8" ht="14.25">
      <c r="A82" s="41">
        <v>140</v>
      </c>
      <c r="B82" s="42"/>
      <c r="C82" s="42">
        <f>IF(D82="","",VLOOKUP(D82,Paigutus!$D:$H,3,FALSE))</f>
        <v>14</v>
      </c>
      <c r="D82" s="43" t="str">
        <f>IF(Mängud!E41="","",Mängud!E41)</f>
        <v>Ain Raid</v>
      </c>
      <c r="E82" s="42">
        <f>IF(F82="","",VLOOKUP(F82,Paigutus!$D:$H,3,FALSE))</f>
        <v>20</v>
      </c>
      <c r="F82" s="43" t="str">
        <f>IF(D82="","",IF(D82=Mängud!C41,Mängud!B41,Mängud!C41))</f>
        <v>Alex Rahuoja</v>
      </c>
      <c r="G82" s="43" t="str">
        <f>IF(Mängud!F41="","",Mängud!F41)</f>
        <v>3:2</v>
      </c>
      <c r="H82" s="44"/>
    </row>
    <row r="83" spans="1:8" ht="14.25">
      <c r="A83" s="41">
        <v>141</v>
      </c>
      <c r="B83" s="42"/>
      <c r="C83" s="42">
        <f>IF(D83="","",VLOOKUP(D83,Paigutus!$D:$H,3,FALSE))</f>
        <v>1</v>
      </c>
      <c r="D83" s="43" t="str">
        <f>IF(Mängud!E42="","",Mängud!E42)</f>
        <v>Antti Luigemaa</v>
      </c>
      <c r="E83" s="42">
        <f>IF(F83="","",VLOOKUP(F83,Paigutus!$D:$H,3,FALSE))</f>
        <v>8</v>
      </c>
      <c r="F83" s="43" t="str">
        <f>IF(D83="","",IF(D83=Mängud!C42,Mängud!B42,Mängud!C42))</f>
        <v>Veiko Ristissaar</v>
      </c>
      <c r="G83" s="43" t="str">
        <f>IF(Mängud!F42="","",Mängud!F42)</f>
        <v>3:1</v>
      </c>
      <c r="H83" s="44"/>
    </row>
    <row r="84" spans="1:8" ht="14.25">
      <c r="A84" s="41">
        <v>142</v>
      </c>
      <c r="B84" s="42"/>
      <c r="C84" s="42">
        <f>IF(D84="","",VLOOKUP(D84,Paigutus!$D:$H,3,FALSE))</f>
        <v>4</v>
      </c>
      <c r="D84" s="43" t="str">
        <f>IF(Mängud!E43="","",Mängud!E43)</f>
        <v>Urmas Sinisalu</v>
      </c>
      <c r="E84" s="42">
        <f>IF(F84="","",VLOOKUP(F84,Paigutus!$D:$H,3,FALSE))</f>
        <v>5</v>
      </c>
      <c r="F84" s="43" t="str">
        <f>IF(D84="","",IF(D84=Mängud!C43,Mängud!B43,Mängud!C43))</f>
        <v>Vladyslav Rybachok</v>
      </c>
      <c r="G84" s="43" t="str">
        <f>IF(Mängud!F43="","",Mängud!F43)</f>
        <v>3:0</v>
      </c>
      <c r="H84" s="44"/>
    </row>
    <row r="85" spans="1:8" ht="14.25">
      <c r="A85" s="41">
        <v>143</v>
      </c>
      <c r="B85" s="42"/>
      <c r="C85" s="42">
        <f>IF(D85="","",VLOOKUP(D85,Paigutus!$D:$H,3,FALSE))</f>
        <v>6</v>
      </c>
      <c r="D85" s="43" t="str">
        <f>IF(Mängud!E44="","",Mängud!E44)</f>
        <v>Mykhailo Plokhotniuk</v>
      </c>
      <c r="E85" s="42">
        <f>IF(F85="","",VLOOKUP(F85,Paigutus!$D:$H,3,FALSE))</f>
        <v>3</v>
      </c>
      <c r="F85" s="43" t="str">
        <f>IF(D85="","",IF(D85=Mängud!C44,Mängud!B44,Mängud!C44))</f>
        <v>Andres Somer</v>
      </c>
      <c r="G85" s="43" t="str">
        <f>IF(Mängud!F44="","",Mängud!F44)</f>
        <v>3:1</v>
      </c>
      <c r="H85" s="44"/>
    </row>
    <row r="86" spans="1:8" ht="14.25">
      <c r="A86" s="41">
        <v>144</v>
      </c>
      <c r="B86" s="42"/>
      <c r="C86" s="42">
        <f>IF(D86="","",VLOOKUP(D86,Paigutus!$D:$H,3,FALSE))</f>
        <v>2</v>
      </c>
      <c r="D86" s="43" t="str">
        <f>IF(Mängud!E45="","",Mängud!E45)</f>
        <v>Allan Salla</v>
      </c>
      <c r="E86" s="42">
        <f>IF(F86="","",VLOOKUP(F86,Paigutus!$D:$H,3,FALSE))</f>
        <v>7</v>
      </c>
      <c r="F86" s="43" t="str">
        <f>IF(D86="","",IF(D86=Mängud!C45,Mängud!B45,Mängud!C45))</f>
        <v>Imre Korsen</v>
      </c>
      <c r="G86" s="43" t="str">
        <f>IF(Mängud!F45="","",Mängud!F45)</f>
        <v>3:2</v>
      </c>
      <c r="H86" s="44"/>
    </row>
    <row r="87" spans="1:8" ht="14.25">
      <c r="A87" s="41">
        <v>145</v>
      </c>
      <c r="B87" s="42"/>
      <c r="C87" s="42">
        <f>IF(D87="","",VLOOKUP(D87,Paigutus!$D:$H,3,FALSE))</f>
        <v>27</v>
      </c>
      <c r="D87" s="43" t="str">
        <f>IF(Mängud!E46="","",Mängud!E46)</f>
        <v>Anatoli Zapunov</v>
      </c>
      <c r="E87" s="42">
        <f>IF(F87="","",VLOOKUP(F87,Paigutus!$D:$H,3,FALSE))</f>
        <v>30</v>
      </c>
      <c r="F87" s="43" t="str">
        <f>IF(D87="","",IF(D87=Mängud!C46,Mängud!B46,Mängud!C46))</f>
        <v>Jako Lill</v>
      </c>
      <c r="G87" s="43" t="str">
        <f>IF(Mängud!F46="","",Mängud!F46)</f>
        <v>3:0</v>
      </c>
      <c r="H87" s="44"/>
    </row>
    <row r="88" spans="1:8" ht="14.25">
      <c r="A88" s="41">
        <v>146</v>
      </c>
      <c r="B88" s="42"/>
      <c r="C88" s="42">
        <f>IF(D88="","",VLOOKUP(D88,Paigutus!$D:$H,3,FALSE))</f>
        <v>26</v>
      </c>
      <c r="D88" s="43" t="str">
        <f>IF(Mängud!E47="","",Mängud!E47)</f>
        <v>Heiki Hansar</v>
      </c>
      <c r="E88" s="42">
        <f>IF(F88="","",VLOOKUP(F88,Paigutus!$D:$H,3,FALSE))</f>
        <v>31</v>
      </c>
      <c r="F88" s="43" t="str">
        <f>IF(D88="","",IF(D88=Mängud!C47,Mängud!B47,Mängud!C47))</f>
        <v>Bye Bye</v>
      </c>
      <c r="G88" s="43" t="str">
        <f>IF(Mängud!F47="","",Mängud!F47)</f>
        <v>w.o.</v>
      </c>
      <c r="H88" s="44"/>
    </row>
    <row r="89" spans="1:8" ht="14.25">
      <c r="A89" s="41">
        <v>147</v>
      </c>
      <c r="B89" s="42"/>
      <c r="C89" s="42">
        <f>IF(D89="","",VLOOKUP(D89,Paigutus!$D:$H,3,FALSE))</f>
        <v>25</v>
      </c>
      <c r="D89" s="43" t="str">
        <f>IF(Mängud!E48="","",Mängud!E48)</f>
        <v>Joosep Hansar</v>
      </c>
      <c r="E89" s="42">
        <f>IF(F89="","",VLOOKUP(F89,Paigutus!$D:$H,3,FALSE))</f>
        <v>31</v>
      </c>
      <c r="F89" s="43" t="str">
        <f>IF(D89="","",IF(D89=Mängud!C48,Mängud!B48,Mängud!C48))</f>
        <v>Bye Bye</v>
      </c>
      <c r="G89" s="43" t="str">
        <f>IF(Mängud!F48="","",Mängud!F48)</f>
        <v>w.o.</v>
      </c>
      <c r="H89" s="44"/>
    </row>
    <row r="90" spans="1:8" ht="14.25">
      <c r="A90" s="41">
        <v>148</v>
      </c>
      <c r="B90" s="42"/>
      <c r="C90" s="42">
        <f>IF(D90="","",VLOOKUP(D90,Paigutus!$D:$H,3,FALSE))</f>
        <v>28</v>
      </c>
      <c r="D90" s="43" t="str">
        <f>IF(Mängud!E49="","",Mängud!E49)</f>
        <v>Aivar Soo</v>
      </c>
      <c r="E90" s="42">
        <f>IF(F90="","",VLOOKUP(F90,Paigutus!$D:$H,3,FALSE))</f>
        <v>29</v>
      </c>
      <c r="F90" s="43" t="str">
        <f>IF(D90="","",IF(D90=Mängud!C49,Mängud!B49,Mängud!C49))</f>
        <v>Taivo Koitla</v>
      </c>
      <c r="G90" s="43" t="str">
        <f>IF(Mängud!F49="","",Mängud!F49)</f>
        <v>3:0</v>
      </c>
      <c r="H90" s="44"/>
    </row>
    <row r="91" spans="1:8" ht="14.25">
      <c r="A91" s="41">
        <v>149</v>
      </c>
      <c r="B91" s="42"/>
      <c r="C91" s="42">
        <f>IF(D91="","",VLOOKUP(D91,Paigutus!$D:$H,3,FALSE))</f>
        <v>13</v>
      </c>
      <c r="D91" s="43" t="str">
        <f>IF(Mängud!E50="","",Mängud!E50)</f>
        <v>Jimmy Lindborg</v>
      </c>
      <c r="E91" s="42">
        <f>IF(F91="","",VLOOKUP(F91,Paigutus!$D:$H,3,FALSE))</f>
        <v>22</v>
      </c>
      <c r="F91" s="43" t="str">
        <f>IF(D91="","",IF(D91=Mängud!C50,Mängud!B50,Mängud!C50))</f>
        <v>Tõnu Hansar</v>
      </c>
      <c r="G91" s="43" t="str">
        <f>IF(Mängud!F50="","",Mängud!F50)</f>
        <v>3:2</v>
      </c>
      <c r="H91" s="44"/>
    </row>
    <row r="92" spans="1:8" ht="14.25">
      <c r="A92" s="41">
        <v>150</v>
      </c>
      <c r="B92" s="42"/>
      <c r="C92" s="42">
        <f>IF(D92="","",VLOOKUP(D92,Paigutus!$D:$H,3,FALSE))</f>
        <v>9</v>
      </c>
      <c r="D92" s="43" t="str">
        <f>IF(Mängud!E51="","",Mängud!E51)</f>
        <v>Eduard Virkunen</v>
      </c>
      <c r="E92" s="42">
        <f>IF(F92="","",VLOOKUP(F92,Paigutus!$D:$H,3,FALSE))</f>
        <v>15</v>
      </c>
      <c r="F92" s="43" t="str">
        <f>IF(D92="","",IF(D92=Mängud!C51,Mängud!B51,Mängud!C51))</f>
        <v>Heikki Sool</v>
      </c>
      <c r="G92" s="43" t="str">
        <f>IF(Mängud!F51="","",Mängud!F51)</f>
        <v>3:2</v>
      </c>
      <c r="H92" s="44"/>
    </row>
    <row r="93" spans="1:8" ht="14.25">
      <c r="A93" s="41">
        <v>151</v>
      </c>
      <c r="B93" s="42"/>
      <c r="C93" s="42">
        <f>IF(D93="","",VLOOKUP(D93,Paigutus!$D:$H,3,FALSE))</f>
        <v>10</v>
      </c>
      <c r="D93" s="43" t="str">
        <f>IF(Mängud!E52="","",Mängud!E52)</f>
        <v>Keit Reinsalu</v>
      </c>
      <c r="E93" s="42">
        <f>IF(F93="","",VLOOKUP(F93,Paigutus!$D:$H,3,FALSE))</f>
        <v>18</v>
      </c>
      <c r="F93" s="43" t="str">
        <f>IF(D93="","",IF(D93=Mängud!C52,Mängud!B52,Mängud!C52))</f>
        <v>Marko Perendi</v>
      </c>
      <c r="G93" s="43" t="str">
        <f>IF(Mängud!F52="","",Mängud!F52)</f>
        <v>3:0</v>
      </c>
      <c r="H93" s="44"/>
    </row>
    <row r="94" spans="1:8" ht="14.25">
      <c r="A94" s="41">
        <v>152</v>
      </c>
      <c r="B94" s="42"/>
      <c r="C94" s="42">
        <f>IF(D94="","",VLOOKUP(D94,Paigutus!$D:$H,3,FALSE))</f>
        <v>14</v>
      </c>
      <c r="D94" s="43" t="str">
        <f>IF(Mängud!E53="","",Mängud!E53)</f>
        <v>Ain Raid</v>
      </c>
      <c r="E94" s="42">
        <f>IF(F94="","",VLOOKUP(F94,Paigutus!$D:$H,3,FALSE))</f>
        <v>11</v>
      </c>
      <c r="F94" s="43" t="str">
        <f>IF(D94="","",IF(D94=Mängud!C53,Mängud!B53,Mängud!C53))</f>
        <v>Kalju Kalda</v>
      </c>
      <c r="G94" s="43" t="str">
        <f>IF(Mängud!F53="","",Mängud!F53)</f>
        <v>3:2</v>
      </c>
      <c r="H94" s="44"/>
    </row>
    <row r="95" spans="1:8" ht="14.25">
      <c r="A95" s="41">
        <v>153</v>
      </c>
      <c r="B95" s="42"/>
      <c r="C95" s="42">
        <f>IF(D95="","",VLOOKUP(D95,Paigutus!$D:$H,3,FALSE))</f>
        <v>12</v>
      </c>
      <c r="D95" s="43" t="str">
        <f>IF(Mängud!E54="","",Mängud!E54)</f>
        <v>Reino Ristissaar</v>
      </c>
      <c r="E95" s="42">
        <f>IF(F95="","",VLOOKUP(F95,Paigutus!$D:$H,3,FALSE))</f>
        <v>19</v>
      </c>
      <c r="F95" s="43" t="str">
        <f>IF(D95="","",IF(D95=Mängud!C54,Mängud!B54,Mängud!C54))</f>
        <v>Taavi Miku</v>
      </c>
      <c r="G95" s="43" t="str">
        <f>IF(Mängud!F54="","",Mängud!F54)</f>
        <v>3:0</v>
      </c>
      <c r="H95" s="44"/>
    </row>
    <row r="96" spans="1:8" ht="14.25">
      <c r="A96" s="41">
        <v>154</v>
      </c>
      <c r="B96" s="42"/>
      <c r="C96" s="42">
        <f>IF(D96="","",VLOOKUP(D96,Paigutus!$D:$H,3,FALSE))</f>
        <v>17</v>
      </c>
      <c r="D96" s="43" t="str">
        <f>IF(Mängud!E55="","",Mängud!E55)</f>
        <v>Raigo Rommot</v>
      </c>
      <c r="E96" s="42">
        <f>IF(F96="","",VLOOKUP(F96,Paigutus!$D:$H,3,FALSE))</f>
        <v>23</v>
      </c>
      <c r="F96" s="43" t="str">
        <f>IF(D96="","",IF(D96=Mängud!C55,Mängud!B55,Mängud!C55))</f>
        <v>Hannes Lepik</v>
      </c>
      <c r="G96" s="43" t="str">
        <f>IF(Mängud!F55="","",Mängud!F55)</f>
        <v>3:0</v>
      </c>
      <c r="H96" s="44"/>
    </row>
    <row r="97" spans="1:8" ht="14.25">
      <c r="A97" s="41">
        <v>155</v>
      </c>
      <c r="B97" s="42"/>
      <c r="C97" s="42">
        <f>IF(D97="","",VLOOKUP(D97,Paigutus!$D:$H,3,FALSE))</f>
        <v>16</v>
      </c>
      <c r="D97" s="43" t="str">
        <f>IF(Mängud!E56="","",Mängud!E56)</f>
        <v>Kalle Kuuspalu</v>
      </c>
      <c r="E97" s="42">
        <f>IF(F97="","",VLOOKUP(F97,Paigutus!$D:$H,3,FALSE))</f>
        <v>24</v>
      </c>
      <c r="F97" s="43" t="str">
        <f>IF(D97="","",IF(D97=Mängud!C56,Mängud!B56,Mängud!C56))</f>
        <v>Raivo Roots</v>
      </c>
      <c r="G97" s="43" t="str">
        <f>IF(Mängud!F56="","",Mängud!F56)</f>
        <v>3:0</v>
      </c>
      <c r="H97" s="44"/>
    </row>
    <row r="98" spans="1:8" ht="14.25">
      <c r="A98" s="41">
        <v>156</v>
      </c>
      <c r="B98" s="42"/>
      <c r="C98" s="42">
        <f>IF(D98="","",VLOOKUP(D98,Paigutus!$D:$H,3,FALSE))</f>
        <v>21</v>
      </c>
      <c r="D98" s="43" t="str">
        <f>IF(Mängud!E57="","",Mängud!E57)</f>
        <v>Arvi Merigan</v>
      </c>
      <c r="E98" s="42">
        <f>IF(F98="","",VLOOKUP(F98,Paigutus!$D:$H,3,FALSE))</f>
        <v>20</v>
      </c>
      <c r="F98" s="43" t="str">
        <f>IF(D98="","",IF(D98=Mängud!C57,Mängud!B57,Mängud!C57))</f>
        <v>Alex Rahuoja</v>
      </c>
      <c r="G98" s="43" t="str">
        <f>IF(Mängud!F57="","",Mängud!F57)</f>
        <v>3:0</v>
      </c>
      <c r="H98" s="44"/>
    </row>
    <row r="99" spans="1:8" ht="14.25">
      <c r="A99" s="41">
        <v>157</v>
      </c>
      <c r="B99" s="42"/>
      <c r="C99" s="42">
        <f>IF(D99="","",VLOOKUP(D99,Paigutus!$D:$H,3,FALSE))</f>
        <v>1</v>
      </c>
      <c r="D99" s="43" t="str">
        <f>IF(Mängud!E58="","",Mängud!E58)</f>
        <v>Antti Luigemaa</v>
      </c>
      <c r="E99" s="42">
        <f>IF(F99="","",VLOOKUP(F99,Paigutus!$D:$H,3,FALSE))</f>
        <v>4</v>
      </c>
      <c r="F99" s="43" t="str">
        <f>IF(D99="","",IF(D99=Mängud!C58,Mängud!B58,Mängud!C58))</f>
        <v>Urmas Sinisalu</v>
      </c>
      <c r="G99" s="43" t="str">
        <f>IF(Mängud!F58="","",Mängud!F58)</f>
        <v>3:0</v>
      </c>
      <c r="H99" s="44"/>
    </row>
    <row r="100" spans="1:8" ht="14.25">
      <c r="A100" s="41">
        <v>158</v>
      </c>
      <c r="B100" s="42"/>
      <c r="C100" s="42">
        <f>IF(D100="","",VLOOKUP(D100,Paigutus!$D:$H,3,FALSE))</f>
        <v>6</v>
      </c>
      <c r="D100" s="43" t="str">
        <f>IF(Mängud!E59="","",Mängud!E59)</f>
        <v>Mykhailo Plokhotniuk</v>
      </c>
      <c r="E100" s="42">
        <f>IF(F100="","",VLOOKUP(F100,Paigutus!$D:$H,3,FALSE))</f>
        <v>2</v>
      </c>
      <c r="F100" s="43" t="str">
        <f>IF(D100="","",IF(D100=Mängud!C59,Mängud!B59,Mängud!C59))</f>
        <v>Allan Salla</v>
      </c>
      <c r="G100" s="43" t="str">
        <f>IF(Mängud!F59="","",Mängud!F59)</f>
        <v>3:2</v>
      </c>
      <c r="H100" s="44"/>
    </row>
    <row r="101" spans="1:8" ht="14.25">
      <c r="A101" s="41">
        <v>159</v>
      </c>
      <c r="B101" s="42"/>
      <c r="C101" s="42">
        <f>IF(D101="","",VLOOKUP(D101,Paigutus!$D:$H,3,FALSE))</f>
        <v>30</v>
      </c>
      <c r="D101" s="43" t="str">
        <f>IF(Mängud!E60="","",Mängud!E60)</f>
        <v>Jako Lill</v>
      </c>
      <c r="E101" s="42">
        <f>IF(F101="","",VLOOKUP(F101,Paigutus!$D:$H,3,FALSE))</f>
        <v>31</v>
      </c>
      <c r="F101" s="43" t="str">
        <f>IF(D101="","",IF(D101=Mängud!C60,Mängud!B60,Mängud!C60))</f>
        <v>Bye Bye</v>
      </c>
      <c r="G101" s="43" t="str">
        <f>IF(Mängud!F60="","",Mängud!F60)</f>
        <v>w.o.</v>
      </c>
      <c r="H101" s="44"/>
    </row>
    <row r="102" spans="1:8" ht="14.25">
      <c r="A102" s="41">
        <v>160</v>
      </c>
      <c r="B102" s="42"/>
      <c r="C102" s="42">
        <f>IF(D102="","",VLOOKUP(D102,Paigutus!$D:$H,3,FALSE))</f>
        <v>29</v>
      </c>
      <c r="D102" s="43" t="str">
        <f>IF(Mängud!E61="","",Mängud!E61)</f>
        <v>Taivo Koitla</v>
      </c>
      <c r="E102" s="42">
        <f>IF(F102="","",VLOOKUP(F102,Paigutus!$D:$H,3,FALSE))</f>
        <v>31</v>
      </c>
      <c r="F102" s="43" t="str">
        <f>IF(D102="","",IF(D102=Mängud!C61,Mängud!B61,Mängud!C61))</f>
        <v>Bye Bye</v>
      </c>
      <c r="G102" s="43" t="str">
        <f>IF(Mängud!F61="","",Mängud!F61)</f>
        <v>w.o.</v>
      </c>
      <c r="H102" s="44"/>
    </row>
    <row r="103" spans="1:8" ht="14.25">
      <c r="A103" s="41">
        <v>161</v>
      </c>
      <c r="B103" s="42"/>
      <c r="C103" s="42">
        <f>IF(D103="","",VLOOKUP(D103,Paigutus!$D:$H,3,FALSE))</f>
        <v>26</v>
      </c>
      <c r="D103" s="43" t="str">
        <f>IF(Mängud!E62="","",Mängud!E62)</f>
        <v>Heiki Hansar</v>
      </c>
      <c r="E103" s="42">
        <f>IF(F103="","",VLOOKUP(F103,Paigutus!$D:$H,3,FALSE))</f>
        <v>27</v>
      </c>
      <c r="F103" s="43" t="str">
        <f>IF(D103="","",IF(D103=Mängud!C62,Mängud!B62,Mängud!C62))</f>
        <v>Anatoli Zapunov</v>
      </c>
      <c r="G103" s="43" t="str">
        <f>IF(Mängud!F62="","",Mängud!F62)</f>
        <v>3:1</v>
      </c>
      <c r="H103" s="44"/>
    </row>
    <row r="104" spans="1:8" ht="14.25">
      <c r="A104" s="41">
        <v>162</v>
      </c>
      <c r="B104" s="42"/>
      <c r="C104" s="42">
        <f>IF(D104="","",VLOOKUP(D104,Paigutus!$D:$H,3,FALSE))</f>
        <v>25</v>
      </c>
      <c r="D104" s="43" t="str">
        <f>IF(Mängud!E63="","",Mängud!E63)</f>
        <v>Joosep Hansar</v>
      </c>
      <c r="E104" s="42">
        <f>IF(F104="","",VLOOKUP(F104,Paigutus!$D:$H,3,FALSE))</f>
        <v>28</v>
      </c>
      <c r="F104" s="43" t="str">
        <f>IF(D104="","",IF(D104=Mängud!C63,Mängud!B63,Mängud!C63))</f>
        <v>Aivar Soo</v>
      </c>
      <c r="G104" s="43" t="str">
        <f>IF(Mängud!F63="","",Mängud!F63)</f>
        <v>3:1</v>
      </c>
      <c r="H104" s="44"/>
    </row>
    <row r="105" spans="1:8" ht="14.25">
      <c r="A105" s="41">
        <v>163</v>
      </c>
      <c r="B105" s="42"/>
      <c r="C105" s="42">
        <f>IF(D105="","",VLOOKUP(D105,Paigutus!$D:$H,3,FALSE))</f>
        <v>13</v>
      </c>
      <c r="D105" s="43" t="str">
        <f>IF(Mängud!E64="","",Mängud!E64)</f>
        <v>Jimmy Lindborg</v>
      </c>
      <c r="E105" s="42">
        <f>IF(F105="","",VLOOKUP(F105,Paigutus!$D:$H,3,FALSE))</f>
        <v>7</v>
      </c>
      <c r="F105" s="43" t="str">
        <f>IF(D105="","",IF(D105=Mängud!C64,Mängud!B64,Mängud!C64))</f>
        <v>Imre Korsen</v>
      </c>
      <c r="G105" s="43" t="str">
        <f>IF(Mängud!F64="","",Mängud!F64)</f>
        <v>3:2</v>
      </c>
      <c r="H105" s="44"/>
    </row>
    <row r="106" spans="1:8" ht="14.25">
      <c r="A106" s="41">
        <v>164</v>
      </c>
      <c r="B106" s="42"/>
      <c r="C106" s="42">
        <f>IF(D106="","",VLOOKUP(D106,Paigutus!$D:$H,3,FALSE))</f>
        <v>3</v>
      </c>
      <c r="D106" s="43" t="str">
        <f>IF(Mängud!E65="","",Mängud!E65)</f>
        <v>Andres Somer</v>
      </c>
      <c r="E106" s="42">
        <f>IF(F106="","",VLOOKUP(F106,Paigutus!$D:$H,3,FALSE))</f>
        <v>9</v>
      </c>
      <c r="F106" s="43" t="str">
        <f>IF(D106="","",IF(D106=Mängud!C65,Mängud!B65,Mängud!C65))</f>
        <v>Eduard Virkunen</v>
      </c>
      <c r="G106" s="43" t="str">
        <f>IF(Mängud!F65="","",Mängud!F65)</f>
        <v>3:0</v>
      </c>
      <c r="H106" s="44"/>
    </row>
    <row r="107" spans="1:8" ht="14.25">
      <c r="A107" s="41">
        <v>165</v>
      </c>
      <c r="B107" s="42"/>
      <c r="C107" s="42">
        <f>IF(D107="","",VLOOKUP(D107,Paigutus!$D:$H,3,FALSE))</f>
        <v>10</v>
      </c>
      <c r="D107" s="43" t="str">
        <f>IF(Mängud!E66="","",Mängud!E66)</f>
        <v>Keit Reinsalu</v>
      </c>
      <c r="E107" s="42">
        <f>IF(F107="","",VLOOKUP(F107,Paigutus!$D:$H,3,FALSE))</f>
        <v>5</v>
      </c>
      <c r="F107" s="43" t="str">
        <f>IF(D107="","",IF(D107=Mängud!C66,Mängud!B66,Mängud!C66))</f>
        <v>Vladyslav Rybachok</v>
      </c>
      <c r="G107" s="43" t="str">
        <f>IF(Mängud!F66="","",Mängud!F66)</f>
        <v>3:0</v>
      </c>
      <c r="H107" s="44"/>
    </row>
    <row r="108" spans="1:8" ht="14.25">
      <c r="A108" s="41">
        <v>166</v>
      </c>
      <c r="B108" s="42"/>
      <c r="C108" s="42">
        <f>IF(D108="","",VLOOKUP(D108,Paigutus!$D:$H,3,FALSE))</f>
        <v>8</v>
      </c>
      <c r="D108" s="43" t="str">
        <f>IF(Mängud!E67="","",Mängud!E67)</f>
        <v>Veiko Ristissaar</v>
      </c>
      <c r="E108" s="42">
        <f>IF(F108="","",VLOOKUP(F108,Paigutus!$D:$H,3,FALSE))</f>
        <v>14</v>
      </c>
      <c r="F108" s="43" t="str">
        <f>IF(D108="","",IF(D108=Mängud!C67,Mängud!B67,Mängud!C67))</f>
        <v>Ain Raid</v>
      </c>
      <c r="G108" s="43" t="str">
        <f>IF(Mängud!F67="","",Mängud!F67)</f>
        <v>3:0</v>
      </c>
      <c r="H108" s="44"/>
    </row>
    <row r="109" spans="1:8" ht="14.25">
      <c r="A109" s="41">
        <v>167</v>
      </c>
      <c r="B109" s="42"/>
      <c r="C109" s="42">
        <f>IF(D109="","",VLOOKUP(D109,Paigutus!$D:$H,3,FALSE))</f>
        <v>19</v>
      </c>
      <c r="D109" s="43" t="str">
        <f>IF(Mängud!E68="","",Mängud!E68)</f>
        <v>Taavi Miku</v>
      </c>
      <c r="E109" s="42">
        <f>IF(F109="","",VLOOKUP(F109,Paigutus!$D:$H,3,FALSE))</f>
        <v>23</v>
      </c>
      <c r="F109" s="43" t="str">
        <f>IF(D109="","",IF(D109=Mängud!C68,Mängud!B68,Mängud!C68))</f>
        <v>Hannes Lepik</v>
      </c>
      <c r="G109" s="43" t="str">
        <f>IF(Mängud!F68="","",Mängud!F68)</f>
        <v>3:0</v>
      </c>
      <c r="H109" s="44"/>
    </row>
    <row r="110" spans="1:8" ht="14.25">
      <c r="A110" s="41">
        <v>168</v>
      </c>
      <c r="B110" s="42"/>
      <c r="C110" s="42">
        <f>IF(D110="","",VLOOKUP(D110,Paigutus!$D:$H,3,FALSE))</f>
        <v>20</v>
      </c>
      <c r="D110" s="43" t="str">
        <f>IF(Mängud!E69="","",Mängud!E69)</f>
        <v>Alex Rahuoja</v>
      </c>
      <c r="E110" s="42">
        <f>IF(F110="","",VLOOKUP(F110,Paigutus!$D:$H,3,FALSE))</f>
        <v>24</v>
      </c>
      <c r="F110" s="43" t="str">
        <f>IF(D110="","",IF(D110=Mängud!C69,Mängud!B69,Mängud!C69))</f>
        <v>Raivo Roots</v>
      </c>
      <c r="G110" s="43" t="str">
        <f>IF(Mängud!F69="","",Mängud!F69)</f>
        <v>3:0</v>
      </c>
      <c r="H110" s="44"/>
    </row>
    <row r="111" spans="1:8" ht="14.25">
      <c r="A111" s="41">
        <v>169</v>
      </c>
      <c r="B111" s="42"/>
      <c r="C111" s="42">
        <f>IF(D111="","",VLOOKUP(D111,Paigutus!$D:$H,3,FALSE))</f>
        <v>12</v>
      </c>
      <c r="D111" s="43" t="str">
        <f>IF(Mängud!E70="","",Mängud!E70)</f>
        <v>Reino Ristissaar</v>
      </c>
      <c r="E111" s="42">
        <f>IF(F111="","",VLOOKUP(F111,Paigutus!$D:$H,3,FALSE))</f>
        <v>17</v>
      </c>
      <c r="F111" s="43" t="str">
        <f>IF(D111="","",IF(D111=Mängud!C70,Mängud!B70,Mängud!C70))</f>
        <v>Raigo Rommot</v>
      </c>
      <c r="G111" s="43" t="str">
        <f>IF(Mängud!F70="","",Mängud!F70)</f>
        <v>3:2</v>
      </c>
      <c r="H111" s="44"/>
    </row>
    <row r="112" spans="1:8" ht="14.25">
      <c r="A112" s="41">
        <v>170</v>
      </c>
      <c r="B112" s="42"/>
      <c r="C112" s="42">
        <f>IF(D112="","",VLOOKUP(D112,Paigutus!$D:$H,3,FALSE))</f>
        <v>16</v>
      </c>
      <c r="D112" s="43" t="str">
        <f>IF(Mängud!E71="","",Mängud!E71)</f>
        <v>Kalle Kuuspalu</v>
      </c>
      <c r="E112" s="42">
        <f>IF(F112="","",VLOOKUP(F112,Paigutus!$D:$H,3,FALSE))</f>
        <v>21</v>
      </c>
      <c r="F112" s="43" t="str">
        <f>IF(D112="","",IF(D112=Mängud!C71,Mängud!B71,Mängud!C71))</f>
        <v>Arvi Merigan</v>
      </c>
      <c r="G112" s="43" t="str">
        <f>IF(Mängud!F71="","",Mängud!F71)</f>
        <v>3:0</v>
      </c>
      <c r="H112" s="44"/>
    </row>
    <row r="113" spans="1:8" ht="14.25">
      <c r="A113" s="41">
        <v>171</v>
      </c>
      <c r="B113" s="42"/>
      <c r="C113" s="42">
        <f>IF(D113="","",VLOOKUP(D113,Paigutus!$D:$H,3,FALSE))</f>
        <v>15</v>
      </c>
      <c r="D113" s="43" t="str">
        <f>IF(Mängud!E72="","",Mängud!E72)</f>
        <v>Heikki Sool</v>
      </c>
      <c r="E113" s="42">
        <f>IF(F113="","",VLOOKUP(F113,Paigutus!$D:$H,3,FALSE))</f>
        <v>22</v>
      </c>
      <c r="F113" s="43" t="str">
        <f>IF(D113="","",IF(D113=Mängud!C72,Mängud!B72,Mängud!C72))</f>
        <v>Tõnu Hansar</v>
      </c>
      <c r="G113" s="43" t="str">
        <f>IF(Mängud!F72="","",Mängud!F72)</f>
        <v>3:0</v>
      </c>
      <c r="H113" s="44"/>
    </row>
    <row r="114" spans="1:8" ht="14.25">
      <c r="A114" s="41">
        <v>172</v>
      </c>
      <c r="B114" s="42"/>
      <c r="C114" s="42">
        <f>IF(D114="","",VLOOKUP(D114,Paigutus!$D:$H,3,FALSE))</f>
        <v>11</v>
      </c>
      <c r="D114" s="43" t="str">
        <f>IF(Mängud!E73="","",Mängud!E73)</f>
        <v>Kalju Kalda</v>
      </c>
      <c r="E114" s="42">
        <f>IF(F114="","",VLOOKUP(F114,Paigutus!$D:$H,3,FALSE))</f>
        <v>18</v>
      </c>
      <c r="F114" s="43" t="str">
        <f>IF(D114="","",IF(D114=Mängud!C73,Mängud!B73,Mängud!C73))</f>
        <v>Marko Perendi</v>
      </c>
      <c r="G114" s="43" t="str">
        <f>IF(Mängud!F73="","",Mängud!F73)</f>
        <v>3:0</v>
      </c>
      <c r="H114" s="44"/>
    </row>
    <row r="115" spans="1:8" ht="14.25">
      <c r="A115" s="41">
        <v>173</v>
      </c>
      <c r="B115" s="42"/>
      <c r="C115" s="42">
        <f>IF(D115="","",VLOOKUP(D115,Paigutus!$D:$H,3,FALSE))</f>
        <v>3</v>
      </c>
      <c r="D115" s="43" t="str">
        <f>IF(Mängud!E74="","",Mängud!E74)</f>
        <v>Andres Somer</v>
      </c>
      <c r="E115" s="42">
        <f>IF(F115="","",VLOOKUP(F115,Paigutus!$D:$H,3,FALSE))</f>
        <v>13</v>
      </c>
      <c r="F115" s="43" t="str">
        <f>IF(D115="","",IF(D115=Mängud!C74,Mängud!B74,Mängud!C74))</f>
        <v>Jimmy Lindborg</v>
      </c>
      <c r="G115" s="43" t="str">
        <f>IF(Mängud!F74="","",Mängud!F74)</f>
        <v>3:0</v>
      </c>
      <c r="H115" s="44"/>
    </row>
    <row r="116" spans="1:8" ht="14.25">
      <c r="A116" s="41">
        <v>174</v>
      </c>
      <c r="B116" s="42"/>
      <c r="C116" s="42">
        <f>IF(D116="","",VLOOKUP(D116,Paigutus!$D:$H,3,FALSE))</f>
        <v>10</v>
      </c>
      <c r="D116" s="43" t="str">
        <f>IF(Mängud!E75="","",Mängud!E75)</f>
        <v>Keit Reinsalu</v>
      </c>
      <c r="E116" s="42">
        <f>IF(F116="","",VLOOKUP(F116,Paigutus!$D:$H,3,FALSE))</f>
        <v>8</v>
      </c>
      <c r="F116" s="43" t="str">
        <f>IF(D116="","",IF(D116=Mängud!C75,Mängud!B75,Mängud!C75))</f>
        <v>Veiko Ristissaar</v>
      </c>
      <c r="G116" s="43" t="str">
        <f>IF(Mängud!F75="","",Mängud!F75)</f>
        <v>3:0</v>
      </c>
      <c r="H116" s="44"/>
    </row>
    <row r="117" spans="1:8" ht="14.25">
      <c r="A117" s="41">
        <v>175</v>
      </c>
      <c r="B117" s="42"/>
      <c r="C117" s="42">
        <f>IF(D117="","",VLOOKUP(D117,Paigutus!$D:$H,3,FALSE))</f>
        <v>7</v>
      </c>
      <c r="D117" s="43" t="str">
        <f>IF(Mängud!E76="","",Mängud!E76)</f>
        <v>Imre Korsen</v>
      </c>
      <c r="E117" s="42">
        <f>IF(F117="","",VLOOKUP(F117,Paigutus!$D:$H,3,FALSE))</f>
        <v>9</v>
      </c>
      <c r="F117" s="43" t="str">
        <f>IF(D117="","",IF(D117=Mängud!C76,Mängud!B76,Mängud!C76))</f>
        <v>Eduard Virkunen</v>
      </c>
      <c r="G117" s="43" t="str">
        <f>IF(Mängud!F76="","",Mängud!F76)</f>
        <v>3:2</v>
      </c>
      <c r="H117" s="44"/>
    </row>
    <row r="118" spans="1:8" ht="14.25">
      <c r="A118" s="41">
        <v>176</v>
      </c>
      <c r="B118" s="42"/>
      <c r="C118" s="42">
        <f>IF(D118="","",VLOOKUP(D118,Paigutus!$D:$H,3,FALSE))</f>
        <v>5</v>
      </c>
      <c r="D118" s="43" t="str">
        <f>IF(Mängud!E77="","",Mängud!E77)</f>
        <v>Vladyslav Rybachok</v>
      </c>
      <c r="E118" s="42">
        <f>IF(F118="","",VLOOKUP(F118,Paigutus!$D:$H,3,FALSE))</f>
        <v>14</v>
      </c>
      <c r="F118" s="43" t="str">
        <f>IF(D118="","",IF(D118=Mängud!C77,Mängud!B77,Mängud!C77))</f>
        <v>Ain Raid</v>
      </c>
      <c r="G118" s="43" t="str">
        <f>IF(Mängud!F77="","",Mängud!F77)</f>
        <v>3:1</v>
      </c>
      <c r="H118" s="44"/>
    </row>
    <row r="119" spans="1:8" ht="14.25">
      <c r="A119" s="41">
        <v>177</v>
      </c>
      <c r="B119" s="42"/>
      <c r="C119" s="42">
        <f>IF(D119="","",VLOOKUP(D119,Paigutus!$D:$H,3,FALSE))</f>
        <v>1</v>
      </c>
      <c r="D119" s="43" t="str">
        <f>IF(Mängud!E78="","",Mängud!E78)</f>
        <v>Antti Luigemaa</v>
      </c>
      <c r="E119" s="42">
        <f>IF(F119="","",VLOOKUP(F119,Paigutus!$D:$H,3,FALSE))</f>
        <v>6</v>
      </c>
      <c r="F119" s="43" t="str">
        <f>IF(D119="","",IF(D119=Mängud!C78,Mängud!B78,Mängud!C78))</f>
        <v>Mykhailo Plokhotniuk</v>
      </c>
      <c r="G119" s="43" t="str">
        <f>IF(Mängud!F78="","",Mängud!F78)</f>
        <v>3:1</v>
      </c>
      <c r="H119" s="44"/>
    </row>
    <row r="120" spans="1:8" ht="14.25">
      <c r="A120" s="41">
        <v>178</v>
      </c>
      <c r="B120" s="42"/>
      <c r="C120" s="42">
        <f>IF(D120="","",VLOOKUP(D120,Paigutus!$D:$H,3,FALSE))</f>
        <v>31</v>
      </c>
      <c r="D120" s="43" t="str">
        <f>IF(Mängud!E79="","",Mängud!E79)</f>
        <v>Bye Bye</v>
      </c>
      <c r="E120" s="42">
        <f>IF(F120="","",VLOOKUP(F120,Paigutus!$D:$H,3,FALSE))</f>
        <v>31</v>
      </c>
      <c r="F120" s="43" t="str">
        <f>IF(D120="","",IF(D120=Mängud!C79,Mängud!B79,Mängud!C79))</f>
        <v>Bye Bye</v>
      </c>
      <c r="G120" s="43" t="str">
        <f>IF(Mängud!F79="","",Mängud!F79)</f>
        <v>w.o.</v>
      </c>
      <c r="H120" s="44"/>
    </row>
    <row r="121" spans="1:8" ht="14.25">
      <c r="A121" s="41">
        <v>179</v>
      </c>
      <c r="B121" s="42"/>
      <c r="C121" s="42">
        <f>IF(D121="","",VLOOKUP(D121,Paigutus!$D:$H,3,FALSE))</f>
        <v>29</v>
      </c>
      <c r="D121" s="43" t="str">
        <f>IF(Mängud!E80="","",Mängud!E80)</f>
        <v>Taivo Koitla</v>
      </c>
      <c r="E121" s="42">
        <f>IF(F121="","",VLOOKUP(F121,Paigutus!$D:$H,3,FALSE))</f>
        <v>30</v>
      </c>
      <c r="F121" s="43" t="str">
        <f>IF(D121="","",IF(D121=Mängud!C80,Mängud!B80,Mängud!C80))</f>
        <v>Jako Lill</v>
      </c>
      <c r="G121" s="43" t="str">
        <f>IF(Mängud!F80="","",Mängud!F80)</f>
        <v>3:2</v>
      </c>
      <c r="H121" s="44"/>
    </row>
    <row r="122" spans="1:8" ht="14.25">
      <c r="A122" s="41">
        <v>180</v>
      </c>
      <c r="B122" s="42"/>
      <c r="C122" s="42">
        <f>IF(D122="","",VLOOKUP(D122,Paigutus!$D:$H,3,FALSE))</f>
        <v>28</v>
      </c>
      <c r="D122" s="43" t="str">
        <f>IF(Mängud!E81="","",Mängud!E81)</f>
        <v>Aivar Soo</v>
      </c>
      <c r="E122" s="42">
        <f>IF(F122="","",VLOOKUP(F122,Paigutus!$D:$H,3,FALSE))</f>
        <v>27</v>
      </c>
      <c r="F122" s="43" t="str">
        <f>IF(D122="","",IF(D122=Mängud!C81,Mängud!B81,Mängud!C81))</f>
        <v>Anatoli Zapunov</v>
      </c>
      <c r="G122" s="43" t="str">
        <f>IF(Mängud!F81="","",Mängud!F81)</f>
        <v>3:0</v>
      </c>
      <c r="H122" s="44"/>
    </row>
    <row r="123" spans="1:8" ht="14.25">
      <c r="A123" s="41">
        <v>181</v>
      </c>
      <c r="B123" s="42"/>
      <c r="C123" s="42">
        <f>IF(D123="","",VLOOKUP(D123,Paigutus!$D:$H,3,FALSE))</f>
        <v>25</v>
      </c>
      <c r="D123" s="43" t="str">
        <f>IF(Mängud!E82="","",Mängud!E82)</f>
        <v>Joosep Hansar</v>
      </c>
      <c r="E123" s="42">
        <f>IF(F123="","",VLOOKUP(F123,Paigutus!$D:$H,3,FALSE))</f>
        <v>26</v>
      </c>
      <c r="F123" s="43" t="str">
        <f>IF(D123="","",IF(D123=Mängud!C82,Mängud!B82,Mängud!C82))</f>
        <v>Heiki Hansar</v>
      </c>
      <c r="G123" s="43" t="str">
        <f>IF(Mängud!F82="","",Mängud!F82)</f>
        <v>3:2</v>
      </c>
      <c r="H123" s="44"/>
    </row>
    <row r="124" spans="1:8" ht="14.25">
      <c r="A124" s="41">
        <v>182</v>
      </c>
      <c r="B124" s="42"/>
      <c r="C124" s="42">
        <f>IF(D124="","",VLOOKUP(D124,Paigutus!$D:$H,3,FALSE))</f>
        <v>23</v>
      </c>
      <c r="D124" s="43" t="str">
        <f>IF(Mängud!E83="","",Mängud!E83)</f>
        <v>Hannes Lepik</v>
      </c>
      <c r="E124" s="42">
        <f>IF(F124="","",VLOOKUP(F124,Paigutus!$D:$H,3,FALSE))</f>
        <v>24</v>
      </c>
      <c r="F124" s="43" t="str">
        <f>IF(D124="","",IF(D124=Mängud!C83,Mängud!B83,Mängud!C83))</f>
        <v>Raivo Roots</v>
      </c>
      <c r="G124" s="43" t="str">
        <f>IF(Mängud!F83="","",Mängud!F83)</f>
        <v>3:0</v>
      </c>
      <c r="H124" s="44"/>
    </row>
    <row r="125" spans="1:8" ht="14.25">
      <c r="A125" s="41">
        <v>183</v>
      </c>
      <c r="B125" s="42"/>
      <c r="C125" s="42">
        <f>IF(D125="","",VLOOKUP(D125,Paigutus!$D:$H,3,FALSE))</f>
        <v>3</v>
      </c>
      <c r="D125" s="43" t="str">
        <f>IF(Mängud!E84="","",Mängud!E84)</f>
        <v>Andres Somer</v>
      </c>
      <c r="E125" s="42">
        <f>IF(F125="","",VLOOKUP(F125,Paigutus!$D:$H,3,FALSE))</f>
        <v>4</v>
      </c>
      <c r="F125" s="43" t="str">
        <f>IF(D125="","",IF(D125=Mängud!C84,Mängud!B84,Mängud!C84))</f>
        <v>Urmas Sinisalu</v>
      </c>
      <c r="G125" s="43" t="str">
        <f>IF(Mängud!F84="","",Mängud!F84)</f>
        <v>3:1</v>
      </c>
      <c r="H125" s="44"/>
    </row>
    <row r="126" spans="1:8" ht="14.25">
      <c r="A126" s="41">
        <v>184</v>
      </c>
      <c r="B126" s="42"/>
      <c r="C126" s="42">
        <f>IF(D126="","",VLOOKUP(D126,Paigutus!$D:$H,3,FALSE))</f>
        <v>2</v>
      </c>
      <c r="D126" s="43" t="str">
        <f>IF(Mängud!E85="","",Mängud!E85)</f>
        <v>Allan Salla</v>
      </c>
      <c r="E126" s="42">
        <f>IF(F126="","",VLOOKUP(F126,Paigutus!$D:$H,3,FALSE))</f>
        <v>10</v>
      </c>
      <c r="F126" s="43" t="str">
        <f>IF(D126="","",IF(D126=Mängud!C85,Mängud!B85,Mängud!C85))</f>
        <v>Keit Reinsalu</v>
      </c>
      <c r="G126" s="43" t="str">
        <f>IF(Mängud!F85="","",Mängud!F85)</f>
        <v>3:1</v>
      </c>
      <c r="H126" s="44"/>
    </row>
    <row r="127" spans="1:8" ht="14.25">
      <c r="A127" s="41">
        <v>185</v>
      </c>
      <c r="B127" s="42"/>
      <c r="C127" s="42">
        <f>IF(D127="","",VLOOKUP(D127,Paigutus!$D:$H,3,FALSE))</f>
        <v>20</v>
      </c>
      <c r="D127" s="43" t="str">
        <f>IF(Mängud!E86="","",Mängud!E86)</f>
        <v>Alex Rahuoja</v>
      </c>
      <c r="E127" s="42">
        <f>IF(F127="","",VLOOKUP(F127,Paigutus!$D:$H,3,FALSE))</f>
        <v>19</v>
      </c>
      <c r="F127" s="43" t="str">
        <f>IF(D127="","",IF(D127=Mängud!C86,Mängud!B86,Mängud!C86))</f>
        <v>Taavi Miku</v>
      </c>
      <c r="G127" s="43" t="str">
        <f>IF(Mängud!F86="","",Mängud!F86)</f>
        <v>3:0</v>
      </c>
      <c r="H127" s="44"/>
    </row>
    <row r="128" spans="1:8" ht="14.25">
      <c r="A128" s="41">
        <v>186</v>
      </c>
      <c r="B128" s="42"/>
      <c r="C128" s="42">
        <f>IF(D128="","",VLOOKUP(D128,Paigutus!$D:$H,3,FALSE))</f>
        <v>17</v>
      </c>
      <c r="D128" s="43" t="str">
        <f>IF(Mängud!E87="","",Mängud!E87)</f>
        <v>Raigo Rommot</v>
      </c>
      <c r="E128" s="42">
        <f>IF(F128="","",VLOOKUP(F128,Paigutus!$D:$H,3,FALSE))</f>
        <v>21</v>
      </c>
      <c r="F128" s="43" t="str">
        <f>IF(D128="","",IF(D128=Mängud!C87,Mängud!B87,Mängud!C87))</f>
        <v>Arvi Merigan</v>
      </c>
      <c r="G128" s="43" t="str">
        <f>IF(Mängud!F87="","",Mängud!F87)</f>
        <v>3:2</v>
      </c>
      <c r="H128" s="44"/>
    </row>
    <row r="129" spans="1:8" ht="14.25">
      <c r="A129" s="41">
        <v>187</v>
      </c>
      <c r="B129" s="42"/>
      <c r="C129" s="42">
        <f>IF(D129="","",VLOOKUP(D129,Paigutus!$D:$H,3,FALSE))</f>
        <v>12</v>
      </c>
      <c r="D129" s="43" t="str">
        <f>IF(Mängud!E88="","",Mängud!E88)</f>
        <v>Reino Ristissaar</v>
      </c>
      <c r="E129" s="42">
        <f>IF(F129="","",VLOOKUP(F129,Paigutus!$D:$H,3,FALSE))</f>
        <v>16</v>
      </c>
      <c r="F129" s="43" t="str">
        <f>IF(D129="","",IF(D129=Mängud!C88,Mängud!B88,Mängud!C88))</f>
        <v>Kalle Kuuspalu</v>
      </c>
      <c r="G129" s="43" t="str">
        <f>IF(Mängud!F88="","",Mängud!F88)</f>
        <v>3:1</v>
      </c>
      <c r="H129" s="44"/>
    </row>
    <row r="130" spans="1:8" ht="14.25">
      <c r="A130" s="41">
        <v>188</v>
      </c>
      <c r="B130" s="42"/>
      <c r="C130" s="42">
        <f>IF(D130="","",VLOOKUP(D130,Paigutus!$D:$H,3,FALSE))</f>
        <v>18</v>
      </c>
      <c r="D130" s="43" t="str">
        <f>IF(Mängud!E89="","",Mängud!E89)</f>
        <v>Marko Perendi</v>
      </c>
      <c r="E130" s="42">
        <f>IF(F130="","",VLOOKUP(F130,Paigutus!$D:$H,3,FALSE))</f>
        <v>22</v>
      </c>
      <c r="F130" s="43" t="str">
        <f>IF(D130="","",IF(D130=Mängud!C89,Mängud!B89,Mängud!C89))</f>
        <v>Tõnu Hansar</v>
      </c>
      <c r="G130" s="43" t="str">
        <f>IF(Mängud!F89="","",Mängud!F89)</f>
        <v>3:2</v>
      </c>
      <c r="H130" s="44"/>
    </row>
    <row r="131" spans="1:8" ht="14.25">
      <c r="A131" s="41">
        <v>189</v>
      </c>
      <c r="B131" s="42"/>
      <c r="C131" s="42">
        <f>IF(D131="","",VLOOKUP(D131,Paigutus!$D:$H,3,FALSE))</f>
        <v>11</v>
      </c>
      <c r="D131" s="43" t="str">
        <f>IF(Mängud!E90="","",Mängud!E90)</f>
        <v>Kalju Kalda</v>
      </c>
      <c r="E131" s="42">
        <f>IF(F131="","",VLOOKUP(F131,Paigutus!$D:$H,3,FALSE))</f>
        <v>15</v>
      </c>
      <c r="F131" s="43" t="str">
        <f>IF(D131="","",IF(D131=Mängud!C90,Mängud!B90,Mängud!C90))</f>
        <v>Heikki Sool</v>
      </c>
      <c r="G131" s="43" t="str">
        <f>IF(Mängud!F90="","",Mängud!F90)</f>
        <v>3:2</v>
      </c>
      <c r="H131" s="44"/>
    </row>
    <row r="132" spans="1:8" ht="14.25">
      <c r="A132" s="41">
        <v>190</v>
      </c>
      <c r="B132" s="42"/>
      <c r="C132" s="42">
        <f>IF(D132="","",VLOOKUP(D132,Paigutus!$D:$H,3,FALSE))</f>
        <v>14</v>
      </c>
      <c r="D132" s="43" t="str">
        <f>IF(Mängud!E91="","",Mängud!E91)</f>
        <v>Ain Raid</v>
      </c>
      <c r="E132" s="42">
        <f>IF(F132="","",VLOOKUP(F132,Paigutus!$D:$H,3,FALSE))</f>
        <v>9</v>
      </c>
      <c r="F132" s="43" t="str">
        <f>IF(D132="","",IF(D132=Mängud!C91,Mängud!B91,Mängud!C91))</f>
        <v>Eduard Virkunen</v>
      </c>
      <c r="G132" s="43" t="str">
        <f>IF(Mängud!F91="","",Mängud!F91)</f>
        <v>3:1</v>
      </c>
      <c r="H132" s="44"/>
    </row>
    <row r="133" spans="1:8" ht="14.25">
      <c r="A133" s="41">
        <v>191</v>
      </c>
      <c r="B133" s="42"/>
      <c r="C133" s="42">
        <f>IF(D133="","",VLOOKUP(D133,Paigutus!$D:$H,3,FALSE))</f>
        <v>5</v>
      </c>
      <c r="D133" s="43" t="str">
        <f>IF(Mängud!E92="","",Mängud!E92)</f>
        <v>Vladyslav Rybachok</v>
      </c>
      <c r="E133" s="42">
        <f>IF(F133="","",VLOOKUP(F133,Paigutus!$D:$H,3,FALSE))</f>
        <v>7</v>
      </c>
      <c r="F133" s="43" t="str">
        <f>IF(D133="","",IF(D133=Mängud!C92,Mängud!B92,Mängud!C92))</f>
        <v>Imre Korsen</v>
      </c>
      <c r="G133" s="43" t="str">
        <f>IF(Mängud!F92="","",Mängud!F92)</f>
        <v>3:2</v>
      </c>
      <c r="H133" s="44"/>
    </row>
    <row r="134" spans="1:8" ht="14.25">
      <c r="A134" s="41">
        <v>192</v>
      </c>
      <c r="B134" s="42"/>
      <c r="C134" s="42">
        <f>IF(D134="","",VLOOKUP(D134,Paigutus!$D:$H,3,FALSE))</f>
        <v>8</v>
      </c>
      <c r="D134" s="43" t="str">
        <f>IF(Mängud!E93="","",Mängud!E93)</f>
        <v>Veiko Ristissaar</v>
      </c>
      <c r="E134" s="42">
        <f>IF(F134="","",VLOOKUP(F134,Paigutus!$D:$H,3,FALSE))</f>
        <v>13</v>
      </c>
      <c r="F134" s="43" t="str">
        <f>IF(D134="","",IF(D134=Mängud!C93,Mängud!B93,Mängud!C93))</f>
        <v>Jimmy Lindborg</v>
      </c>
      <c r="G134" s="43" t="str">
        <f>IF(Mängud!F93="","",Mängud!F93)</f>
        <v>3:1</v>
      </c>
      <c r="H134" s="44"/>
    </row>
    <row r="135" spans="1:8" ht="14.25">
      <c r="A135" s="41">
        <v>193</v>
      </c>
      <c r="B135" s="42"/>
      <c r="C135" s="42">
        <f>IF(D135="","",VLOOKUP(D135,Paigutus!$D:$H,3,FALSE))</f>
        <v>4</v>
      </c>
      <c r="D135" s="43" t="str">
        <f>IF(Mängud!E94="","",Mängud!E94)</f>
        <v>Urmas Sinisalu</v>
      </c>
      <c r="E135" s="42">
        <f>IF(F135="","",VLOOKUP(F135,Paigutus!$D:$H,3,FALSE))</f>
        <v>10</v>
      </c>
      <c r="F135" s="43" t="str">
        <f>IF(D135="","",IF(D135=Mängud!C94,Mängud!B94,Mängud!C94))</f>
        <v>Keit Reinsalu</v>
      </c>
      <c r="G135" s="43" t="str">
        <f>IF(Mängud!F94="","",Mängud!F94)</f>
        <v>3:1</v>
      </c>
      <c r="H135" s="44"/>
    </row>
    <row r="136" spans="1:8" ht="14.25">
      <c r="A136" s="41">
        <v>194</v>
      </c>
      <c r="B136" s="42"/>
      <c r="C136" s="42">
        <f>IF(D136="","",VLOOKUP(D136,Paigutus!$D:$H,3,FALSE))</f>
        <v>2</v>
      </c>
      <c r="D136" s="43" t="str">
        <f>IF(Mängud!E95="","",Mängud!E95)</f>
        <v>Allan Salla</v>
      </c>
      <c r="E136" s="42">
        <f>IF(F136="","",VLOOKUP(F136,Paigutus!$D:$H,3,FALSE))</f>
        <v>3</v>
      </c>
      <c r="F136" s="43" t="str">
        <f>IF(D136="","",IF(D136=Mängud!C95,Mängud!B95,Mängud!C95))</f>
        <v>Andres Somer</v>
      </c>
      <c r="G136" s="43" t="str">
        <f>IF(Mängud!F95="","",Mängud!F95)</f>
        <v>3:1</v>
      </c>
      <c r="H136" s="44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7" right="0.7" top="0.75" bottom="0.75" header="0.5118055555555555" footer="0.5118055555555555"/>
  <pageSetup horizontalDpi="300" verticalDpi="300" orientation="portrait" paperSize="9" r:id="rId2"/>
  <ignoredErrors>
    <ignoredError sqref="F44:G136 F43:G43" unlockedFormula="1"/>
    <ignoredError sqref="D43:D136" formula="1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 Safonov</dc:creator>
  <cp:keywords/>
  <dc:description/>
  <cp:lastModifiedBy>Kasutaja</cp:lastModifiedBy>
  <cp:lastPrinted>2024-04-28T09:22:32Z</cp:lastPrinted>
  <dcterms:created xsi:type="dcterms:W3CDTF">2023-03-14T07:58:56Z</dcterms:created>
  <dcterms:modified xsi:type="dcterms:W3CDTF">2024-04-28T12:18:57Z</dcterms:modified>
  <cp:category/>
  <cp:version/>
  <cp:contentType/>
  <cp:contentStatus/>
</cp:coreProperties>
</file>